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FF6D8F2-BA91-4069-90EC-EB1A7EC1F3C5}" xr6:coauthVersionLast="36" xr6:coauthVersionMax="36" xr10:uidLastSave="{00000000-0000-0000-0000-000000000000}"/>
  <bookViews>
    <workbookView xWindow="0" yWindow="0" windowWidth="24720" windowHeight="11625" tabRatio="768"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3" hidden="1">'3.2 паспорт Техсостояние ЛЭП'!$A$24:$AA$51</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ЛЭП'!$A$1:$AA$50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Y73" i="8" l="1"/>
  <c r="AZ73" i="8"/>
  <c r="BA73" i="8"/>
  <c r="BB73" i="8"/>
  <c r="BC73" i="8"/>
  <c r="BD73" i="8"/>
  <c r="BE73" i="8"/>
  <c r="BF73" i="8"/>
  <c r="BG73" i="8"/>
  <c r="BH73" i="8"/>
  <c r="BI73" i="8"/>
  <c r="BJ73" i="8"/>
  <c r="BK73" i="8"/>
  <c r="BL73" i="8"/>
  <c r="BM73" i="8"/>
  <c r="BN73" i="8"/>
  <c r="BO73" i="8"/>
  <c r="BP73" i="8"/>
  <c r="BQ73" i="8"/>
  <c r="BR73" i="8"/>
  <c r="BS73" i="8"/>
  <c r="BT73" i="8"/>
  <c r="BU73" i="8"/>
  <c r="BV73" i="8"/>
  <c r="BW73" i="8"/>
  <c r="BX73" i="8"/>
  <c r="BY73" i="8"/>
  <c r="BZ73" i="8"/>
  <c r="CA73" i="8"/>
  <c r="CB73" i="8"/>
  <c r="CC73" i="8"/>
  <c r="CD73" i="8"/>
  <c r="CE73" i="8"/>
  <c r="CF73" i="8"/>
  <c r="CG73" i="8"/>
  <c r="CH73" i="8"/>
  <c r="CI73" i="8"/>
  <c r="CJ73" i="8"/>
  <c r="CK73" i="8"/>
  <c r="CL73" i="8"/>
  <c r="CM73" i="8"/>
  <c r="CN73" i="8"/>
  <c r="CO73" i="8"/>
  <c r="CP73" i="8"/>
  <c r="CQ73" i="8"/>
  <c r="CR73" i="8"/>
  <c r="CS73" i="8"/>
  <c r="CT73" i="8"/>
  <c r="CU73" i="8"/>
  <c r="CV73" i="8"/>
  <c r="CW73" i="8"/>
  <c r="CX73" i="8"/>
  <c r="C48" i="8"/>
  <c r="D48" i="8"/>
  <c r="E48" i="8"/>
  <c r="AY48" i="8"/>
  <c r="AZ48" i="8"/>
  <c r="BA48" i="8"/>
  <c r="BB48" i="8"/>
  <c r="BC48" i="8"/>
  <c r="BD48" i="8"/>
  <c r="BE48" i="8"/>
  <c r="BF48" i="8"/>
  <c r="BG48" i="8"/>
  <c r="BH48" i="8"/>
  <c r="BI48" i="8"/>
  <c r="BJ48" i="8"/>
  <c r="BK48" i="8"/>
  <c r="BL48" i="8"/>
  <c r="BM48" i="8"/>
  <c r="BN48" i="8"/>
  <c r="BO48" i="8"/>
  <c r="BP48" i="8"/>
  <c r="BQ48" i="8"/>
  <c r="BR48" i="8"/>
  <c r="BS48" i="8"/>
  <c r="BT48" i="8"/>
  <c r="BU48" i="8"/>
  <c r="BV48" i="8"/>
  <c r="BW48" i="8"/>
  <c r="BX48" i="8"/>
  <c r="BY48" i="8"/>
  <c r="BZ48" i="8"/>
  <c r="CA48" i="8"/>
  <c r="CB48" i="8"/>
  <c r="CC48" i="8"/>
  <c r="CD48" i="8"/>
  <c r="CE48" i="8"/>
  <c r="CF48" i="8"/>
  <c r="CG48" i="8"/>
  <c r="CH48" i="8"/>
  <c r="CI48" i="8"/>
  <c r="CJ48" i="8"/>
  <c r="CK48" i="8"/>
  <c r="CL48" i="8"/>
  <c r="CM48" i="8"/>
  <c r="CN48" i="8"/>
  <c r="CO48" i="8"/>
  <c r="CP48" i="8"/>
  <c r="CQ48" i="8"/>
  <c r="CR48" i="8"/>
  <c r="CS48" i="8"/>
  <c r="CT48" i="8"/>
  <c r="CU48" i="8"/>
  <c r="CV48" i="8"/>
  <c r="CW48" i="8"/>
  <c r="CX48" i="8"/>
  <c r="AY49" i="8"/>
  <c r="AZ49" i="8"/>
  <c r="BA49" i="8"/>
  <c r="BB49" i="8"/>
  <c r="BC49" i="8"/>
  <c r="BD49" i="8"/>
  <c r="BE49" i="8"/>
  <c r="BF49" i="8"/>
  <c r="BG49" i="8"/>
  <c r="BH49" i="8"/>
  <c r="BI49" i="8"/>
  <c r="BJ49" i="8"/>
  <c r="BK49" i="8"/>
  <c r="BL49" i="8"/>
  <c r="BM49" i="8"/>
  <c r="BN49" i="8"/>
  <c r="BO49" i="8"/>
  <c r="BP49" i="8"/>
  <c r="BQ49" i="8"/>
  <c r="BR49" i="8"/>
  <c r="BS49" i="8"/>
  <c r="BT49" i="8"/>
  <c r="BU49" i="8"/>
  <c r="BV49" i="8"/>
  <c r="BW49" i="8"/>
  <c r="BX49" i="8"/>
  <c r="BY49" i="8"/>
  <c r="BZ49" i="8"/>
  <c r="CA49" i="8"/>
  <c r="CB49" i="8"/>
  <c r="CC49" i="8"/>
  <c r="CD49" i="8"/>
  <c r="CE49" i="8"/>
  <c r="CF49" i="8"/>
  <c r="CG49" i="8"/>
  <c r="CH49" i="8"/>
  <c r="CI49" i="8"/>
  <c r="CJ49" i="8"/>
  <c r="CK49" i="8"/>
  <c r="CL49" i="8"/>
  <c r="CM49" i="8"/>
  <c r="CN49" i="8"/>
  <c r="CO49" i="8"/>
  <c r="CP49" i="8"/>
  <c r="CQ49" i="8"/>
  <c r="CR49" i="8"/>
  <c r="CS49" i="8"/>
  <c r="CT49" i="8"/>
  <c r="CU49" i="8"/>
  <c r="CV49" i="8"/>
  <c r="CW49" i="8"/>
  <c r="CX49" i="8"/>
  <c r="B49" i="8"/>
  <c r="B48" i="8"/>
  <c r="B81" i="8"/>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BH112" i="8" s="1"/>
  <c r="BI112" i="8" s="1"/>
  <c r="BJ112" i="8" s="1"/>
  <c r="BK112" i="8" s="1"/>
  <c r="BL112" i="8" s="1"/>
  <c r="BM112" i="8" s="1"/>
  <c r="BN112" i="8" s="1"/>
  <c r="BO112" i="8" s="1"/>
  <c r="BP112" i="8" s="1"/>
  <c r="BQ112" i="8" s="1"/>
  <c r="BR112" i="8" s="1"/>
  <c r="BS112" i="8" s="1"/>
  <c r="BT112" i="8" s="1"/>
  <c r="BU112" i="8" s="1"/>
  <c r="BV112" i="8" s="1"/>
  <c r="BW112" i="8" s="1"/>
  <c r="BX112" i="8" s="1"/>
  <c r="BY112" i="8" s="1"/>
  <c r="BZ112" i="8" s="1"/>
  <c r="CA112" i="8" s="1"/>
  <c r="CB112" i="8" s="1"/>
  <c r="CC112" i="8" s="1"/>
  <c r="CD112" i="8" s="1"/>
  <c r="CE112" i="8" s="1"/>
  <c r="CF112" i="8" s="1"/>
  <c r="CG112" i="8" s="1"/>
  <c r="CH112" i="8" s="1"/>
  <c r="CI112" i="8" s="1"/>
  <c r="CJ112" i="8" s="1"/>
  <c r="CK112" i="8" s="1"/>
  <c r="CL112" i="8" s="1"/>
  <c r="CM112" i="8" s="1"/>
  <c r="CN112" i="8" s="1"/>
  <c r="CO112" i="8" s="1"/>
  <c r="CP112" i="8" s="1"/>
  <c r="CQ112" i="8" s="1"/>
  <c r="CR112" i="8" s="1"/>
  <c r="CS112" i="8" s="1"/>
  <c r="CT112" i="8" s="1"/>
  <c r="CU112" i="8" s="1"/>
  <c r="CV112" i="8" s="1"/>
  <c r="CW112" i="8" s="1"/>
  <c r="CX112" i="8" s="1"/>
  <c r="B88" i="12" l="1"/>
  <c r="B87" i="12"/>
  <c r="B86" i="12"/>
  <c r="B84" i="12"/>
  <c r="B92" i="12" s="1"/>
  <c r="B91" i="12" s="1"/>
  <c r="B83" i="12"/>
  <c r="B82" i="12"/>
  <c r="B80" i="12"/>
  <c r="B72" i="12"/>
  <c r="B68" i="12"/>
  <c r="B64" i="12"/>
  <c r="B60" i="12"/>
  <c r="B79" i="12" s="1"/>
  <c r="B58" i="12"/>
  <c r="B55" i="12"/>
  <c r="B51" i="12"/>
  <c r="B47" i="12"/>
  <c r="B43" i="12"/>
  <c r="B41" i="12"/>
  <c r="B30" i="12" s="1"/>
  <c r="B75" i="12" s="1"/>
  <c r="B38" i="12"/>
  <c r="B35" i="12"/>
  <c r="B90" i="12" s="1"/>
  <c r="B89" i="12" s="1"/>
  <c r="B34" i="12"/>
  <c r="B77" i="12" s="1"/>
  <c r="B33" i="12"/>
  <c r="B32" i="12"/>
  <c r="B29" i="12"/>
  <c r="B22" i="12"/>
  <c r="A15" i="12"/>
  <c r="B21" i="12" s="1"/>
  <c r="A12" i="12"/>
  <c r="A9" i="12"/>
  <c r="A5" i="12"/>
  <c r="AD31" i="11"/>
  <c r="AD26" i="11"/>
  <c r="R26" i="11"/>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E64" i="10"/>
  <c r="F64" i="10" s="1"/>
  <c r="AC63" i="10"/>
  <c r="C63" i="10"/>
  <c r="E63" i="10" s="1"/>
  <c r="F63" i="10" s="1"/>
  <c r="AC62" i="10"/>
  <c r="AB62" i="10"/>
  <c r="F62" i="10"/>
  <c r="E62" i="10"/>
  <c r="AC61" i="10"/>
  <c r="AB61" i="10"/>
  <c r="E61" i="10"/>
  <c r="F61" i="10" s="1"/>
  <c r="AC60" i="10"/>
  <c r="AB60" i="10"/>
  <c r="E60" i="10"/>
  <c r="F60" i="10" s="1"/>
  <c r="AC59" i="10"/>
  <c r="AB59" i="10"/>
  <c r="E59" i="10"/>
  <c r="F59" i="10" s="1"/>
  <c r="AC58" i="10"/>
  <c r="AB58" i="10"/>
  <c r="E58" i="10"/>
  <c r="F58" i="10" s="1"/>
  <c r="AC57" i="10"/>
  <c r="AB57" i="10"/>
  <c r="E57" i="10"/>
  <c r="F57" i="10" s="1"/>
  <c r="AC55" i="10"/>
  <c r="AB55" i="10"/>
  <c r="E55" i="10"/>
  <c r="F55" i="10" s="1"/>
  <c r="AC54" i="10"/>
  <c r="AB54" i="10"/>
  <c r="E54" i="10"/>
  <c r="F54" i="10" s="1"/>
  <c r="AC53" i="10"/>
  <c r="AB53" i="10"/>
  <c r="F53" i="10"/>
  <c r="E53" i="10"/>
  <c r="AC52" i="10"/>
  <c r="H52" i="10"/>
  <c r="AB52" i="10" s="1"/>
  <c r="C52" i="10"/>
  <c r="E52" i="10" s="1"/>
  <c r="F52" i="10" s="1"/>
  <c r="AC51" i="10"/>
  <c r="AB51" i="10"/>
  <c r="E51" i="10"/>
  <c r="F51" i="10" s="1"/>
  <c r="AC50" i="10"/>
  <c r="AB50" i="10"/>
  <c r="E50" i="10"/>
  <c r="F50" i="10" s="1"/>
  <c r="J49" i="10"/>
  <c r="J56" i="10" s="1"/>
  <c r="AC56" i="10" s="1"/>
  <c r="H49" i="10"/>
  <c r="C49" i="10"/>
  <c r="C56" i="10" s="1"/>
  <c r="E56" i="10" s="1"/>
  <c r="F56" i="10" s="1"/>
  <c r="AC48" i="10"/>
  <c r="AB48" i="10"/>
  <c r="F48" i="10"/>
  <c r="E48" i="10"/>
  <c r="AC47" i="10"/>
  <c r="AB47" i="10"/>
  <c r="E47" i="10"/>
  <c r="F47" i="10" s="1"/>
  <c r="AC46" i="10"/>
  <c r="AB46" i="10"/>
  <c r="E46" i="10"/>
  <c r="F46" i="10" s="1"/>
  <c r="AC45" i="10"/>
  <c r="AB45" i="10"/>
  <c r="E45" i="10"/>
  <c r="F45" i="10" s="1"/>
  <c r="AC44" i="10"/>
  <c r="AB44" i="10"/>
  <c r="E44" i="10"/>
  <c r="F44" i="10" s="1"/>
  <c r="AC43" i="10"/>
  <c r="AB43" i="10"/>
  <c r="F43" i="10"/>
  <c r="E43" i="10"/>
  <c r="AC42" i="10"/>
  <c r="AB42" i="10"/>
  <c r="E42" i="10"/>
  <c r="F42" i="10" s="1"/>
  <c r="AC41" i="10"/>
  <c r="AB41" i="10"/>
  <c r="F41" i="10"/>
  <c r="E41" i="10"/>
  <c r="AC40" i="10"/>
  <c r="AB40" i="10"/>
  <c r="F40" i="10"/>
  <c r="E40" i="10"/>
  <c r="AC39" i="10"/>
  <c r="AB39" i="10"/>
  <c r="E39" i="10"/>
  <c r="F39" i="10" s="1"/>
  <c r="AC38" i="10"/>
  <c r="AB38" i="10"/>
  <c r="E38" i="10"/>
  <c r="F38" i="10" s="1"/>
  <c r="AC37" i="10"/>
  <c r="AB37" i="10"/>
  <c r="E37" i="10"/>
  <c r="F37" i="10" s="1"/>
  <c r="AC36" i="10"/>
  <c r="AB36" i="10"/>
  <c r="E36" i="10"/>
  <c r="F36" i="10" s="1"/>
  <c r="AC35" i="10"/>
  <c r="AB35" i="10"/>
  <c r="F35" i="10"/>
  <c r="E35" i="10"/>
  <c r="AC34" i="10"/>
  <c r="AB34" i="10"/>
  <c r="E34" i="10"/>
  <c r="F34" i="10" s="1"/>
  <c r="AC33" i="10"/>
  <c r="AB33" i="10"/>
  <c r="E33" i="10"/>
  <c r="F33" i="10" s="1"/>
  <c r="AC32" i="10"/>
  <c r="AB32" i="10"/>
  <c r="F32" i="10"/>
  <c r="E32" i="10"/>
  <c r="AC31" i="10"/>
  <c r="AB31" i="10"/>
  <c r="E31" i="10"/>
  <c r="AA30" i="10"/>
  <c r="Z30" i="10"/>
  <c r="Y30" i="10"/>
  <c r="X30" i="10"/>
  <c r="W30" i="10"/>
  <c r="V30" i="10"/>
  <c r="U30" i="10"/>
  <c r="T30" i="10"/>
  <c r="S30" i="10"/>
  <c r="R30" i="10"/>
  <c r="Q30" i="10"/>
  <c r="P30" i="10"/>
  <c r="O30" i="10"/>
  <c r="N30" i="10"/>
  <c r="AC30" i="10" s="1"/>
  <c r="C49" i="1" s="1"/>
  <c r="M30" i="10"/>
  <c r="L30" i="10"/>
  <c r="AB30" i="10" s="1"/>
  <c r="K30" i="10"/>
  <c r="J30" i="10"/>
  <c r="I30" i="10"/>
  <c r="H30" i="10"/>
  <c r="G30" i="10"/>
  <c r="D30" i="10"/>
  <c r="C30" i="10"/>
  <c r="AC29" i="10"/>
  <c r="AB29" i="10"/>
  <c r="E29" i="10"/>
  <c r="F29" i="10" s="1"/>
  <c r="AC28" i="10"/>
  <c r="AB28" i="10"/>
  <c r="F28" i="10"/>
  <c r="E28" i="10"/>
  <c r="AC27" i="10"/>
  <c r="AB27" i="10"/>
  <c r="E27" i="10"/>
  <c r="F27" i="10" s="1"/>
  <c r="AC26" i="10"/>
  <c r="AB26" i="10"/>
  <c r="E26" i="10"/>
  <c r="F26" i="10" s="1"/>
  <c r="AC25" i="10"/>
  <c r="AB25" i="10"/>
  <c r="E25" i="10"/>
  <c r="F25"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C24" i="10"/>
  <c r="B122" i="8" s="1"/>
  <c r="B126" i="8" s="1"/>
  <c r="A14" i="10"/>
  <c r="A11" i="10"/>
  <c r="A8" i="10"/>
  <c r="A4" i="10"/>
  <c r="A15" i="9"/>
  <c r="A12" i="9"/>
  <c r="A9" i="9"/>
  <c r="A5" i="9"/>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G120"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A62" i="8"/>
  <c r="B60" i="8"/>
  <c r="C58" i="8"/>
  <c r="D58" i="8" s="1"/>
  <c r="D52" i="8"/>
  <c r="C52" i="8"/>
  <c r="B52" i="8"/>
  <c r="B47" i="8"/>
  <c r="B45" i="8"/>
  <c r="B44" i="8"/>
  <c r="B27" i="8"/>
  <c r="C67" i="8" s="1"/>
  <c r="B25" i="8"/>
  <c r="A15" i="8"/>
  <c r="A12" i="8"/>
  <c r="A9" i="8"/>
  <c r="A5" i="8"/>
  <c r="A15" i="7"/>
  <c r="A12" i="7"/>
  <c r="A9" i="7"/>
  <c r="A5" i="7"/>
  <c r="A14" i="6"/>
  <c r="A11" i="6"/>
  <c r="A8" i="6"/>
  <c r="A4" i="6"/>
  <c r="A15" i="5"/>
  <c r="A12" i="5"/>
  <c r="A9" i="5"/>
  <c r="A5" i="5"/>
  <c r="R54" i="4"/>
  <c r="R53" i="4"/>
  <c r="C40" i="1" s="1"/>
  <c r="R51" i="4"/>
  <c r="Q51" i="4"/>
  <c r="E50" i="4"/>
  <c r="C50" i="4"/>
  <c r="E49" i="4"/>
  <c r="C49" i="4"/>
  <c r="E48" i="4"/>
  <c r="C48" i="4"/>
  <c r="E47" i="4"/>
  <c r="C47" i="4"/>
  <c r="E46" i="4"/>
  <c r="C46" i="4"/>
  <c r="E45" i="4"/>
  <c r="C45" i="4"/>
  <c r="E44" i="4"/>
  <c r="C44" i="4"/>
  <c r="E43" i="4"/>
  <c r="C43" i="4"/>
  <c r="E42" i="4"/>
  <c r="C42" i="4"/>
  <c r="E41" i="4"/>
  <c r="C41" i="4"/>
  <c r="E40" i="4"/>
  <c r="C40" i="4"/>
  <c r="E39" i="4"/>
  <c r="C39" i="4"/>
  <c r="E38" i="4"/>
  <c r="C38" i="4"/>
  <c r="E37" i="4"/>
  <c r="C37" i="4"/>
  <c r="E36" i="4"/>
  <c r="C36" i="4"/>
  <c r="E35" i="4"/>
  <c r="C35" i="4"/>
  <c r="E34" i="4"/>
  <c r="C34" i="4"/>
  <c r="E33" i="4"/>
  <c r="C33" i="4"/>
  <c r="E32" i="4"/>
  <c r="C32" i="4"/>
  <c r="E31" i="4"/>
  <c r="C31" i="4"/>
  <c r="E30" i="4"/>
  <c r="C30" i="4"/>
  <c r="E29" i="4"/>
  <c r="C29" i="4"/>
  <c r="E28" i="4"/>
  <c r="C28" i="4"/>
  <c r="E27" i="4"/>
  <c r="C27" i="4"/>
  <c r="E26" i="4"/>
  <c r="C26" i="4"/>
  <c r="E25" i="4"/>
  <c r="C25" i="4"/>
  <c r="E15" i="4"/>
  <c r="E12" i="4"/>
  <c r="E9" i="4"/>
  <c r="A5" i="4"/>
  <c r="A16" i="3"/>
  <c r="A13" i="3"/>
  <c r="A10" i="3"/>
  <c r="A6" i="3"/>
  <c r="S24" i="2"/>
  <c r="J24" i="2"/>
  <c r="I24" i="2"/>
  <c r="H24" i="2"/>
  <c r="A15" i="2"/>
  <c r="A14" i="2"/>
  <c r="A11" i="2"/>
  <c r="A8" i="2"/>
  <c r="A4" i="2"/>
  <c r="H136" i="8" l="1"/>
  <c r="F48" i="8"/>
  <c r="B50" i="8"/>
  <c r="B59" i="8" s="1"/>
  <c r="B29" i="8"/>
  <c r="B46" i="8"/>
  <c r="I118" i="8"/>
  <c r="I120" i="8" s="1"/>
  <c r="C109" i="8" s="1"/>
  <c r="D140" i="8"/>
  <c r="C141" i="8"/>
  <c r="K26" i="11"/>
  <c r="AQ81" i="8"/>
  <c r="E49" i="10"/>
  <c r="F49" i="10" s="1"/>
  <c r="S51" i="4"/>
  <c r="B24" i="12" s="1"/>
  <c r="H56" i="10"/>
  <c r="AB49" i="10"/>
  <c r="D137" i="8"/>
  <c r="C49" i="8" s="1"/>
  <c r="F24" i="10"/>
  <c r="C90" i="12" s="1"/>
  <c r="E30" i="10"/>
  <c r="F30" i="10" s="1"/>
  <c r="C92" i="12" s="1"/>
  <c r="F31" i="10"/>
  <c r="D47" i="8"/>
  <c r="E58" i="8"/>
  <c r="D74" i="8"/>
  <c r="B54" i="8"/>
  <c r="C47" i="8"/>
  <c r="AC49" i="10"/>
  <c r="B73" i="8" l="1"/>
  <c r="B85" i="8" s="1"/>
  <c r="B99" i="8" s="1"/>
  <c r="I136" i="8"/>
  <c r="G48" i="8"/>
  <c r="D109" i="8"/>
  <c r="C108" i="8"/>
  <c r="C50" i="8" s="1"/>
  <c r="C59" i="8" s="1"/>
  <c r="C80" i="8" s="1"/>
  <c r="D67" i="8"/>
  <c r="F76" i="8"/>
  <c r="C76" i="8"/>
  <c r="C61" i="8"/>
  <c r="C60" i="8" s="1"/>
  <c r="E137" i="8"/>
  <c r="D49" i="8" s="1"/>
  <c r="E140" i="8"/>
  <c r="E141" i="8"/>
  <c r="AB56" i="10"/>
  <c r="H63" i="10"/>
  <c r="AB63" i="10" s="1"/>
  <c r="D141" i="8"/>
  <c r="B80" i="8"/>
  <c r="B66" i="8"/>
  <c r="B68" i="8" s="1"/>
  <c r="B55" i="8"/>
  <c r="B56" i="8" s="1"/>
  <c r="B69" i="8" s="1"/>
  <c r="B77" i="8" s="1"/>
  <c r="E47" i="8"/>
  <c r="F58" i="8"/>
  <c r="E52" i="8"/>
  <c r="E74" i="8"/>
  <c r="D61" i="8"/>
  <c r="D60" i="8" s="1"/>
  <c r="D73" i="8" l="1"/>
  <c r="D85" i="8"/>
  <c r="D99" i="8" s="1"/>
  <c r="C73" i="8"/>
  <c r="C85" i="8" s="1"/>
  <c r="C99" i="8" s="1"/>
  <c r="H48" i="8"/>
  <c r="J136" i="8"/>
  <c r="C66" i="8"/>
  <c r="C68" i="8" s="1"/>
  <c r="C75" i="8" s="1"/>
  <c r="E109" i="8"/>
  <c r="D108" i="8"/>
  <c r="D50" i="8" s="1"/>
  <c r="D59" i="8" s="1"/>
  <c r="F47" i="8"/>
  <c r="G58" i="8"/>
  <c r="F52" i="8"/>
  <c r="F74" i="8"/>
  <c r="B75" i="8"/>
  <c r="B70" i="8"/>
  <c r="F137" i="8"/>
  <c r="E49" i="8" s="1"/>
  <c r="E61" i="8"/>
  <c r="E60" i="8" s="1"/>
  <c r="B82" i="8"/>
  <c r="C53" i="8"/>
  <c r="F140" i="8"/>
  <c r="F141" i="8"/>
  <c r="D76" i="8"/>
  <c r="E67" i="8"/>
  <c r="E73" i="8" l="1"/>
  <c r="E85" i="8" s="1"/>
  <c r="E99" i="8" s="1"/>
  <c r="I48" i="8"/>
  <c r="K136" i="8"/>
  <c r="D80" i="8"/>
  <c r="D66" i="8"/>
  <c r="D68" i="8" s="1"/>
  <c r="D75" i="8" s="1"/>
  <c r="F109" i="8"/>
  <c r="E108" i="8"/>
  <c r="E50" i="8" s="1"/>
  <c r="E59" i="8" s="1"/>
  <c r="G140" i="8"/>
  <c r="G141" i="8"/>
  <c r="C55" i="8"/>
  <c r="G137" i="8"/>
  <c r="F49" i="8" s="1"/>
  <c r="B71" i="8"/>
  <c r="B72" i="8" s="1"/>
  <c r="H58" i="8"/>
  <c r="G47" i="8"/>
  <c r="G52" i="8"/>
  <c r="G74" i="8"/>
  <c r="F67" i="8"/>
  <c r="E76" i="8"/>
  <c r="F61" i="8"/>
  <c r="F60" i="8" s="1"/>
  <c r="F73" i="8" l="1"/>
  <c r="F85" i="8" s="1"/>
  <c r="F99" i="8" s="1"/>
  <c r="J48" i="8"/>
  <c r="L136" i="8"/>
  <c r="E80" i="8"/>
  <c r="E66" i="8"/>
  <c r="E68" i="8" s="1"/>
  <c r="G109" i="8"/>
  <c r="F108" i="8"/>
  <c r="F50" i="8" s="1"/>
  <c r="F59" i="8" s="1"/>
  <c r="G67" i="8"/>
  <c r="C56" i="8"/>
  <c r="C69" i="8" s="1"/>
  <c r="C82" i="8"/>
  <c r="H47" i="8"/>
  <c r="I58" i="8"/>
  <c r="H52" i="8"/>
  <c r="H74" i="8"/>
  <c r="B78" i="8"/>
  <c r="B83" i="8" s="1"/>
  <c r="H137" i="8"/>
  <c r="G49" i="8" s="1"/>
  <c r="E75" i="8"/>
  <c r="D53" i="8"/>
  <c r="H140" i="8"/>
  <c r="K48" i="8" l="1"/>
  <c r="M136" i="8"/>
  <c r="F80" i="8"/>
  <c r="F66" i="8"/>
  <c r="F68" i="8" s="1"/>
  <c r="H109" i="8"/>
  <c r="G108" i="8"/>
  <c r="G50" i="8" s="1"/>
  <c r="G59" i="8" s="1"/>
  <c r="G80" i="8" s="1"/>
  <c r="C77" i="8"/>
  <c r="C70" i="8"/>
  <c r="I140" i="8"/>
  <c r="I141" i="8"/>
  <c r="I137" i="8"/>
  <c r="H49" i="8" s="1"/>
  <c r="B86" i="8"/>
  <c r="B84" i="8"/>
  <c r="B89" i="8" s="1"/>
  <c r="B88" i="8"/>
  <c r="H61" i="8"/>
  <c r="H60" i="8" s="1"/>
  <c r="G61" i="8"/>
  <c r="G60" i="8" s="1"/>
  <c r="D55" i="8"/>
  <c r="E53" i="8" s="1"/>
  <c r="F75" i="8"/>
  <c r="J58" i="8"/>
  <c r="I47" i="8"/>
  <c r="I52" i="8"/>
  <c r="I74" i="8"/>
  <c r="H141" i="8"/>
  <c r="H67" i="8"/>
  <c r="G76" i="8"/>
  <c r="G73" i="8" l="1"/>
  <c r="G85" i="8" s="1"/>
  <c r="G99" i="8" s="1"/>
  <c r="H73" i="8"/>
  <c r="H85" i="8" s="1"/>
  <c r="H99" i="8" s="1"/>
  <c r="L48" i="8"/>
  <c r="N136" i="8"/>
  <c r="G66" i="8"/>
  <c r="G68" i="8" s="1"/>
  <c r="G75" i="8" s="1"/>
  <c r="I109" i="8"/>
  <c r="H108" i="8"/>
  <c r="H50" i="8"/>
  <c r="H59" i="8" s="1"/>
  <c r="H80" i="8" s="1"/>
  <c r="E55" i="8"/>
  <c r="J47" i="8"/>
  <c r="K58" i="8"/>
  <c r="J74" i="8"/>
  <c r="J52" i="8"/>
  <c r="I67" i="8"/>
  <c r="H76" i="8"/>
  <c r="D82" i="8"/>
  <c r="D56" i="8"/>
  <c r="D69" i="8" s="1"/>
  <c r="B87" i="8"/>
  <c r="B90" i="8" s="1"/>
  <c r="C71" i="8"/>
  <c r="C72" i="8" s="1"/>
  <c r="J137" i="8"/>
  <c r="I49" i="8" s="1"/>
  <c r="J140" i="8"/>
  <c r="J141" i="8" s="1"/>
  <c r="I73" i="8" l="1"/>
  <c r="I85" i="8" s="1"/>
  <c r="I99" i="8" s="1"/>
  <c r="M48" i="8"/>
  <c r="O136" i="8"/>
  <c r="H66" i="8"/>
  <c r="H68" i="8" s="1"/>
  <c r="I61" i="8"/>
  <c r="I60" i="8" s="1"/>
  <c r="J109" i="8"/>
  <c r="I108" i="8"/>
  <c r="I50" i="8" s="1"/>
  <c r="I59" i="8" s="1"/>
  <c r="L58" i="8"/>
  <c r="K47" i="8"/>
  <c r="K74" i="8"/>
  <c r="K52" i="8"/>
  <c r="K137" i="8"/>
  <c r="J49" i="8" s="1"/>
  <c r="E56" i="8"/>
  <c r="E69" i="8" s="1"/>
  <c r="E82" i="8"/>
  <c r="H75" i="8"/>
  <c r="C78" i="8"/>
  <c r="C83" i="8" s="1"/>
  <c r="D77" i="8"/>
  <c r="D70" i="8"/>
  <c r="J67" i="8"/>
  <c r="I76" i="8"/>
  <c r="K140" i="8"/>
  <c r="K141" i="8" s="1"/>
  <c r="F53" i="8"/>
  <c r="J73" i="8" l="1"/>
  <c r="J85" i="8" s="1"/>
  <c r="J99" i="8" s="1"/>
  <c r="N48" i="8"/>
  <c r="P136" i="8"/>
  <c r="I66" i="8"/>
  <c r="I68" i="8" s="1"/>
  <c r="I80" i="8"/>
  <c r="K109" i="8"/>
  <c r="J108" i="8"/>
  <c r="J50" i="8" s="1"/>
  <c r="J59" i="8" s="1"/>
  <c r="J80" i="8" s="1"/>
  <c r="K67" i="8"/>
  <c r="J76" i="8"/>
  <c r="D71" i="8"/>
  <c r="C86" i="8"/>
  <c r="C84" i="8"/>
  <c r="C89" i="8" s="1"/>
  <c r="C88" i="8"/>
  <c r="E77" i="8"/>
  <c r="E70" i="8"/>
  <c r="J61" i="8"/>
  <c r="J60" i="8" s="1"/>
  <c r="F55" i="8"/>
  <c r="L74" i="8"/>
  <c r="M58" i="8"/>
  <c r="L47" i="8"/>
  <c r="L52" i="8"/>
  <c r="I75" i="8"/>
  <c r="L137" i="8"/>
  <c r="K49" i="8" s="1"/>
  <c r="L140" i="8"/>
  <c r="L141" i="8"/>
  <c r="K73" i="8" l="1"/>
  <c r="K85" i="8" s="1"/>
  <c r="K99" i="8" s="1"/>
  <c r="O48" i="8"/>
  <c r="Q136" i="8"/>
  <c r="L109" i="8"/>
  <c r="K108" i="8"/>
  <c r="K50" i="8" s="1"/>
  <c r="K59" i="8" s="1"/>
  <c r="J66" i="8"/>
  <c r="J68" i="8" s="1"/>
  <c r="J75" i="8" s="1"/>
  <c r="M137" i="8"/>
  <c r="L49" i="8" s="1"/>
  <c r="F82" i="8"/>
  <c r="F56" i="8"/>
  <c r="F69" i="8" s="1"/>
  <c r="N58" i="8"/>
  <c r="M47" i="8"/>
  <c r="M74" i="8"/>
  <c r="M52" i="8"/>
  <c r="M140" i="8"/>
  <c r="M141" i="8"/>
  <c r="C87" i="8"/>
  <c r="C90" i="8" s="1"/>
  <c r="G53" i="8"/>
  <c r="E71" i="8"/>
  <c r="D78" i="8"/>
  <c r="D83" i="8" s="1"/>
  <c r="D72" i="8"/>
  <c r="K61" i="8"/>
  <c r="K60" i="8" s="1"/>
  <c r="L67" i="8"/>
  <c r="K76" i="8"/>
  <c r="L73" i="8" l="1"/>
  <c r="L85" i="8" s="1"/>
  <c r="L99" i="8" s="1"/>
  <c r="P48" i="8"/>
  <c r="R136" i="8"/>
  <c r="K80" i="8"/>
  <c r="K66" i="8"/>
  <c r="K68" i="8" s="1"/>
  <c r="K75" i="8" s="1"/>
  <c r="M109" i="8"/>
  <c r="L108" i="8"/>
  <c r="L50" i="8" s="1"/>
  <c r="L59" i="8" s="1"/>
  <c r="L61" i="8"/>
  <c r="L60" i="8" s="1"/>
  <c r="G55" i="8"/>
  <c r="M67" i="8"/>
  <c r="L76" i="8"/>
  <c r="E78" i="8"/>
  <c r="E83" i="8" s="1"/>
  <c r="E86" i="8" s="1"/>
  <c r="N47" i="8"/>
  <c r="O58" i="8"/>
  <c r="N74" i="8"/>
  <c r="N52" i="8"/>
  <c r="N137" i="8"/>
  <c r="M49" i="8" s="1"/>
  <c r="D86" i="8"/>
  <c r="D88" i="8"/>
  <c r="D84" i="8"/>
  <c r="D89" i="8" s="1"/>
  <c r="E88" i="8"/>
  <c r="E84" i="8"/>
  <c r="N140" i="8"/>
  <c r="N141" i="8"/>
  <c r="E72" i="8"/>
  <c r="F77" i="8"/>
  <c r="F70" i="8"/>
  <c r="Q48" i="8" l="1"/>
  <c r="S136" i="8"/>
  <c r="M73" i="8"/>
  <c r="M85" i="8" s="1"/>
  <c r="M99" i="8" s="1"/>
  <c r="L80" i="8"/>
  <c r="L66" i="8"/>
  <c r="L68" i="8" s="1"/>
  <c r="M108" i="8"/>
  <c r="M50" i="8" s="1"/>
  <c r="M59" i="8" s="1"/>
  <c r="N109" i="8"/>
  <c r="D87" i="8"/>
  <c r="D90" i="8" s="1"/>
  <c r="E87" i="8"/>
  <c r="M76" i="8"/>
  <c r="N67" i="8"/>
  <c r="E89" i="8"/>
  <c r="P58" i="8"/>
  <c r="O74" i="8"/>
  <c r="O47" i="8"/>
  <c r="O52" i="8"/>
  <c r="O140" i="8"/>
  <c r="O141" i="8"/>
  <c r="O137" i="8"/>
  <c r="N49" i="8" s="1"/>
  <c r="M61" i="8"/>
  <c r="M60" i="8" s="1"/>
  <c r="G56" i="8"/>
  <c r="G69" i="8" s="1"/>
  <c r="G82" i="8"/>
  <c r="L75" i="8"/>
  <c r="F71" i="8"/>
  <c r="F72" i="8"/>
  <c r="H53" i="8"/>
  <c r="N61" i="8"/>
  <c r="N60" i="8" s="1"/>
  <c r="N73" i="8" l="1"/>
  <c r="N85" i="8" s="1"/>
  <c r="N99" i="8" s="1"/>
  <c r="R48" i="8"/>
  <c r="T136" i="8"/>
  <c r="E90" i="8"/>
  <c r="M80" i="8"/>
  <c r="M66" i="8"/>
  <c r="M68" i="8" s="1"/>
  <c r="M75" i="8" s="1"/>
  <c r="O109" i="8"/>
  <c r="N108" i="8"/>
  <c r="N50" i="8" s="1"/>
  <c r="N59" i="8" s="1"/>
  <c r="P140" i="8"/>
  <c r="P141" i="8"/>
  <c r="N76" i="8"/>
  <c r="O67" i="8"/>
  <c r="P74" i="8"/>
  <c r="Q58" i="8"/>
  <c r="P47" i="8"/>
  <c r="P52" i="8"/>
  <c r="I53" i="8"/>
  <c r="H55" i="8"/>
  <c r="F78" i="8"/>
  <c r="F83" i="8" s="1"/>
  <c r="G77" i="8"/>
  <c r="G70" i="8"/>
  <c r="P137" i="8"/>
  <c r="O49" i="8" s="1"/>
  <c r="O73" i="8" l="1"/>
  <c r="O85" i="8" s="1"/>
  <c r="O99" i="8" s="1"/>
  <c r="S48" i="8"/>
  <c r="U136" i="8"/>
  <c r="N66" i="8"/>
  <c r="N68" i="8" s="1"/>
  <c r="N80" i="8"/>
  <c r="P109" i="8"/>
  <c r="O108" i="8"/>
  <c r="O50" i="8" s="1"/>
  <c r="O59" i="8" s="1"/>
  <c r="O80" i="8" s="1"/>
  <c r="N75" i="8"/>
  <c r="I55" i="8"/>
  <c r="J53" i="8" s="1"/>
  <c r="F86" i="8"/>
  <c r="F88" i="8"/>
  <c r="F84" i="8"/>
  <c r="F89" i="8" s="1"/>
  <c r="G71" i="8"/>
  <c r="O61" i="8"/>
  <c r="O60" i="8" s="1"/>
  <c r="O76" i="8"/>
  <c r="P67" i="8"/>
  <c r="Q137" i="8"/>
  <c r="P49" i="8" s="1"/>
  <c r="H82" i="8"/>
  <c r="H56" i="8"/>
  <c r="H69" i="8" s="1"/>
  <c r="P61" i="8"/>
  <c r="P60" i="8" s="1"/>
  <c r="Q47" i="8"/>
  <c r="R58" i="8"/>
  <c r="Q74" i="8"/>
  <c r="Q52" i="8"/>
  <c r="Q140" i="8"/>
  <c r="Q141" i="8"/>
  <c r="P73" i="8" l="1"/>
  <c r="P85" i="8" s="1"/>
  <c r="P99" i="8" s="1"/>
  <c r="T48" i="8"/>
  <c r="V136" i="8"/>
  <c r="O66" i="8"/>
  <c r="O68" i="8" s="1"/>
  <c r="O75" i="8" s="1"/>
  <c r="Q109" i="8"/>
  <c r="P108" i="8"/>
  <c r="P50" i="8"/>
  <c r="P59" i="8" s="1"/>
  <c r="J55" i="8"/>
  <c r="K53" i="8"/>
  <c r="R140" i="8"/>
  <c r="R141" i="8"/>
  <c r="R137" i="8"/>
  <c r="Q49" i="8" s="1"/>
  <c r="G78" i="8"/>
  <c r="G83" i="8" s="1"/>
  <c r="R74" i="8"/>
  <c r="S58" i="8"/>
  <c r="R47" i="8"/>
  <c r="R52" i="8"/>
  <c r="F87" i="8"/>
  <c r="F90" i="8" s="1"/>
  <c r="P76" i="8"/>
  <c r="Q67" i="8"/>
  <c r="H77" i="8"/>
  <c r="H70" i="8"/>
  <c r="P80" i="8"/>
  <c r="P66" i="8"/>
  <c r="P68" i="8" s="1"/>
  <c r="G72" i="8"/>
  <c r="I82" i="8"/>
  <c r="I56" i="8"/>
  <c r="I69" i="8" s="1"/>
  <c r="Q73" i="8" l="1"/>
  <c r="Q85" i="8" s="1"/>
  <c r="Q99" i="8" s="1"/>
  <c r="U48" i="8"/>
  <c r="W136" i="8"/>
  <c r="Q61" i="8"/>
  <c r="Q60" i="8" s="1"/>
  <c r="R109" i="8"/>
  <c r="Q108" i="8"/>
  <c r="Q50" i="8" s="1"/>
  <c r="Q59" i="8" s="1"/>
  <c r="I77" i="8"/>
  <c r="I70" i="8"/>
  <c r="H71" i="8"/>
  <c r="H78" i="8" s="1"/>
  <c r="H83" i="8" s="1"/>
  <c r="P75" i="8"/>
  <c r="Q76" i="8"/>
  <c r="R67" i="8"/>
  <c r="T58" i="8"/>
  <c r="S74" i="8"/>
  <c r="S47" i="8"/>
  <c r="S52" i="8"/>
  <c r="G86" i="8"/>
  <c r="G88" i="8"/>
  <c r="G84" i="8"/>
  <c r="G89" i="8" s="1"/>
  <c r="S137" i="8"/>
  <c r="R49" i="8" s="1"/>
  <c r="S140" i="8"/>
  <c r="K55" i="8"/>
  <c r="L53" i="8" s="1"/>
  <c r="J82" i="8"/>
  <c r="J56" i="8"/>
  <c r="J69" i="8" s="1"/>
  <c r="V48" i="8" l="1"/>
  <c r="X136" i="8"/>
  <c r="H72" i="8"/>
  <c r="Q66" i="8"/>
  <c r="Q68" i="8" s="1"/>
  <c r="Q80" i="8"/>
  <c r="R108" i="8"/>
  <c r="R50" i="8" s="1"/>
  <c r="R59" i="8" s="1"/>
  <c r="R80" i="8" s="1"/>
  <c r="S109" i="8"/>
  <c r="L55" i="8"/>
  <c r="H86" i="8"/>
  <c r="H88" i="8"/>
  <c r="H84" i="8"/>
  <c r="H89" i="8" s="1"/>
  <c r="T140" i="8"/>
  <c r="R76" i="8"/>
  <c r="S67" i="8"/>
  <c r="J77" i="8"/>
  <c r="J70" i="8"/>
  <c r="G87" i="8"/>
  <c r="G90" i="8" s="1"/>
  <c r="H87" i="8"/>
  <c r="T47" i="8"/>
  <c r="U58" i="8"/>
  <c r="T74" i="8"/>
  <c r="T52" i="8"/>
  <c r="K82" i="8"/>
  <c r="K56" i="8"/>
  <c r="K69" i="8" s="1"/>
  <c r="R61" i="8"/>
  <c r="R60" i="8" s="1"/>
  <c r="T137" i="8"/>
  <c r="S49" i="8" s="1"/>
  <c r="I71" i="8"/>
  <c r="I78" i="8" s="1"/>
  <c r="I83" i="8" s="1"/>
  <c r="S141" i="8"/>
  <c r="Q75" i="8"/>
  <c r="R73" i="8" l="1"/>
  <c r="R85" i="8" s="1"/>
  <c r="R99" i="8" s="1"/>
  <c r="W48" i="8"/>
  <c r="Y136" i="8"/>
  <c r="H90" i="8"/>
  <c r="R66" i="8"/>
  <c r="R68" i="8" s="1"/>
  <c r="R75" i="8" s="1"/>
  <c r="T109" i="8"/>
  <c r="S108" i="8"/>
  <c r="S50" i="8" s="1"/>
  <c r="S59" i="8" s="1"/>
  <c r="S80" i="8" s="1"/>
  <c r="I86" i="8"/>
  <c r="I87" i="8" s="1"/>
  <c r="I90" i="8" s="1"/>
  <c r="I84" i="8"/>
  <c r="I89" i="8" s="1"/>
  <c r="I88" i="8"/>
  <c r="L82" i="8"/>
  <c r="L56" i="8"/>
  <c r="L69" i="8" s="1"/>
  <c r="S61" i="8"/>
  <c r="S60" i="8" s="1"/>
  <c r="K77" i="8"/>
  <c r="K70" i="8"/>
  <c r="V58" i="8"/>
  <c r="U47" i="8"/>
  <c r="U74" i="8"/>
  <c r="U52" i="8"/>
  <c r="J71" i="8"/>
  <c r="J78" i="8" s="1"/>
  <c r="J83" i="8" s="1"/>
  <c r="S76" i="8"/>
  <c r="T67" i="8"/>
  <c r="U140" i="8"/>
  <c r="U141" i="8" s="1"/>
  <c r="T141" i="8"/>
  <c r="I72" i="8"/>
  <c r="U137" i="8"/>
  <c r="T49" i="8" s="1"/>
  <c r="M53" i="8"/>
  <c r="S73" i="8" l="1"/>
  <c r="S85" i="8" s="1"/>
  <c r="S99" i="8" s="1"/>
  <c r="S66" i="8"/>
  <c r="S68" i="8" s="1"/>
  <c r="X48" i="8"/>
  <c r="Z136" i="8"/>
  <c r="T73" i="8"/>
  <c r="T85" i="8" s="1"/>
  <c r="T99" i="8" s="1"/>
  <c r="U109" i="8"/>
  <c r="T108" i="8"/>
  <c r="T50" i="8" s="1"/>
  <c r="T59" i="8" s="1"/>
  <c r="T80" i="8" s="1"/>
  <c r="J86" i="8"/>
  <c r="J87" i="8" s="1"/>
  <c r="J90" i="8" s="1"/>
  <c r="J88" i="8"/>
  <c r="J84" i="8"/>
  <c r="J89" i="8" s="1"/>
  <c r="S75" i="8"/>
  <c r="T76" i="8"/>
  <c r="U67" i="8"/>
  <c r="K71" i="8"/>
  <c r="K78" i="8" s="1"/>
  <c r="K83" i="8" s="1"/>
  <c r="V137" i="8"/>
  <c r="U49" i="8" s="1"/>
  <c r="T61" i="8"/>
  <c r="T60" i="8" s="1"/>
  <c r="M55" i="8"/>
  <c r="V140" i="8"/>
  <c r="V141" i="8"/>
  <c r="W58" i="8"/>
  <c r="V47" i="8"/>
  <c r="V74" i="8"/>
  <c r="V52" i="8"/>
  <c r="J72" i="8"/>
  <c r="U61" i="8"/>
  <c r="U60" i="8" s="1"/>
  <c r="L77" i="8"/>
  <c r="L70" i="8"/>
  <c r="U73" i="8" l="1"/>
  <c r="U85" i="8" s="1"/>
  <c r="U99" i="8" s="1"/>
  <c r="Y48" i="8"/>
  <c r="AA136" i="8"/>
  <c r="K72" i="8"/>
  <c r="T66" i="8"/>
  <c r="T68" i="8" s="1"/>
  <c r="T75" i="8" s="1"/>
  <c r="V109" i="8"/>
  <c r="U108" i="8"/>
  <c r="U50" i="8"/>
  <c r="U59" i="8" s="1"/>
  <c r="X58" i="8"/>
  <c r="W47" i="8"/>
  <c r="W74" i="8"/>
  <c r="W52" i="8"/>
  <c r="K86" i="8"/>
  <c r="K87" i="8" s="1"/>
  <c r="K90" i="8" s="1"/>
  <c r="K88" i="8"/>
  <c r="K84" i="8"/>
  <c r="K89" i="8" s="1"/>
  <c r="L71" i="8"/>
  <c r="L78" i="8" s="1"/>
  <c r="L83" i="8" s="1"/>
  <c r="L72" i="8"/>
  <c r="W140" i="8"/>
  <c r="W141" i="8"/>
  <c r="M56" i="8"/>
  <c r="M69" i="8" s="1"/>
  <c r="M82" i="8"/>
  <c r="U66" i="8"/>
  <c r="U68" i="8" s="1"/>
  <c r="U80" i="8"/>
  <c r="N53" i="8"/>
  <c r="U76" i="8"/>
  <c r="V67" i="8"/>
  <c r="W137" i="8"/>
  <c r="V49" i="8" s="1"/>
  <c r="V73" i="8" l="1"/>
  <c r="V85" i="8" s="1"/>
  <c r="V99" i="8" s="1"/>
  <c r="Z48" i="8"/>
  <c r="AB136" i="8"/>
  <c r="W109" i="8"/>
  <c r="V108" i="8"/>
  <c r="V50" i="8" s="1"/>
  <c r="V59" i="8" s="1"/>
  <c r="L86" i="8"/>
  <c r="L87" i="8" s="1"/>
  <c r="L84" i="8"/>
  <c r="L89" i="8" s="1"/>
  <c r="G28" i="8" s="1"/>
  <c r="C105" i="8" s="1"/>
  <c r="L88" i="8"/>
  <c r="B105" i="8" s="1"/>
  <c r="V76" i="8"/>
  <c r="W67" i="8"/>
  <c r="M77" i="8"/>
  <c r="M70" i="8"/>
  <c r="X140" i="8"/>
  <c r="V61" i="8"/>
  <c r="V60" i="8" s="1"/>
  <c r="X137" i="8"/>
  <c r="W49" i="8" s="1"/>
  <c r="U75" i="8"/>
  <c r="Y58" i="8"/>
  <c r="X47" i="8"/>
  <c r="X74" i="8"/>
  <c r="X52" i="8"/>
  <c r="N55" i="8"/>
  <c r="O53" i="8" s="1"/>
  <c r="AA48" i="8" l="1"/>
  <c r="AC136" i="8"/>
  <c r="V66" i="8"/>
  <c r="V68" i="8" s="1"/>
  <c r="V75" i="8" s="1"/>
  <c r="V80" i="8"/>
  <c r="X109" i="8"/>
  <c r="W108" i="8"/>
  <c r="W50" i="8" s="1"/>
  <c r="W59" i="8" s="1"/>
  <c r="W80" i="8" s="1"/>
  <c r="P53" i="8"/>
  <c r="O55" i="8"/>
  <c r="Y47" i="8"/>
  <c r="Y74" i="8"/>
  <c r="Z58" i="8"/>
  <c r="Y52" i="8"/>
  <c r="Y140" i="8"/>
  <c r="N56" i="8"/>
  <c r="N69" i="8" s="1"/>
  <c r="N82" i="8"/>
  <c r="Y137" i="8"/>
  <c r="X49" i="8" s="1"/>
  <c r="W61" i="8"/>
  <c r="W60" i="8" s="1"/>
  <c r="X141" i="8"/>
  <c r="M71" i="8"/>
  <c r="M78" i="8" s="1"/>
  <c r="M83" i="8" s="1"/>
  <c r="W76" i="8"/>
  <c r="X67" i="8"/>
  <c r="L90" i="8"/>
  <c r="G29" i="8" s="1"/>
  <c r="D105" i="8" s="1"/>
  <c r="G30" i="8"/>
  <c r="A105" i="8" s="1"/>
  <c r="W73" i="8" l="1"/>
  <c r="W85" i="8" s="1"/>
  <c r="W99" i="8" s="1"/>
  <c r="AB48" i="8"/>
  <c r="AD136" i="8"/>
  <c r="W66" i="8"/>
  <c r="W68" i="8" s="1"/>
  <c r="W75" i="8" s="1"/>
  <c r="Y109" i="8"/>
  <c r="X108" i="8"/>
  <c r="X50" i="8" s="1"/>
  <c r="X59" i="8" s="1"/>
  <c r="X80" i="8" s="1"/>
  <c r="M86" i="8"/>
  <c r="M87" i="8" s="1"/>
  <c r="M90" i="8" s="1"/>
  <c r="M88" i="8"/>
  <c r="M84" i="8"/>
  <c r="M89" i="8" s="1"/>
  <c r="Z47" i="8"/>
  <c r="Z74" i="8"/>
  <c r="AA58" i="8"/>
  <c r="Z52" i="8"/>
  <c r="Z137" i="8"/>
  <c r="Y49" i="8" s="1"/>
  <c r="Z140" i="8"/>
  <c r="Y61" i="8"/>
  <c r="Y60" i="8" s="1"/>
  <c r="N77" i="8"/>
  <c r="N70" i="8"/>
  <c r="P55" i="8"/>
  <c r="X76" i="8"/>
  <c r="Y67" i="8"/>
  <c r="M72" i="8"/>
  <c r="Y141" i="8"/>
  <c r="X61" i="8"/>
  <c r="X60" i="8" s="1"/>
  <c r="O82" i="8"/>
  <c r="O56" i="8"/>
  <c r="O69" i="8" s="1"/>
  <c r="X73" i="8" l="1"/>
  <c r="X85" i="8" s="1"/>
  <c r="X99" i="8" s="1"/>
  <c r="AC48" i="8"/>
  <c r="AE136" i="8"/>
  <c r="X66" i="8"/>
  <c r="X68" i="8" s="1"/>
  <c r="Z109" i="8"/>
  <c r="Y108" i="8"/>
  <c r="Y50" i="8" s="1"/>
  <c r="Y59" i="8" s="1"/>
  <c r="X75" i="8"/>
  <c r="O77" i="8"/>
  <c r="O70" i="8"/>
  <c r="P56" i="8"/>
  <c r="P69" i="8" s="1"/>
  <c r="P82" i="8"/>
  <c r="N71" i="8"/>
  <c r="N78" i="8" s="1"/>
  <c r="N72" i="8"/>
  <c r="AA140" i="8"/>
  <c r="AA141" i="8" s="1"/>
  <c r="Q53" i="8"/>
  <c r="Y76" i="8"/>
  <c r="Z67" i="8"/>
  <c r="N83" i="8"/>
  <c r="Z141" i="8"/>
  <c r="AA137" i="8"/>
  <c r="Z49" i="8" s="1"/>
  <c r="AA47" i="8"/>
  <c r="AA74" i="8"/>
  <c r="AB58" i="8"/>
  <c r="AA52" i="8"/>
  <c r="Z73" i="8" l="1"/>
  <c r="Z85" i="8"/>
  <c r="Z99" i="8" s="1"/>
  <c r="Y73" i="8"/>
  <c r="Y85" i="8" s="1"/>
  <c r="Y99" i="8" s="1"/>
  <c r="AD48" i="8"/>
  <c r="AF136" i="8"/>
  <c r="Y66" i="8"/>
  <c r="Y68" i="8" s="1"/>
  <c r="Y80" i="8"/>
  <c r="Z108" i="8"/>
  <c r="Z50" i="8" s="1"/>
  <c r="Z59" i="8" s="1"/>
  <c r="Z80" i="8" s="1"/>
  <c r="AA109" i="8"/>
  <c r="Y75" i="8"/>
  <c r="AB137" i="8"/>
  <c r="AA49" i="8" s="1"/>
  <c r="Q55" i="8"/>
  <c r="AB47" i="8"/>
  <c r="AB74" i="8"/>
  <c r="AB52" i="8"/>
  <c r="AC58" i="8"/>
  <c r="N86" i="8"/>
  <c r="N87" i="8" s="1"/>
  <c r="N90" i="8" s="1"/>
  <c r="N88" i="8"/>
  <c r="N84" i="8"/>
  <c r="N89" i="8" s="1"/>
  <c r="Z76" i="8"/>
  <c r="AA67" i="8"/>
  <c r="AA61" i="8"/>
  <c r="AA60" i="8" s="1"/>
  <c r="P77" i="8"/>
  <c r="P70" i="8"/>
  <c r="Z61" i="8"/>
  <c r="Z60" i="8" s="1"/>
  <c r="AB140" i="8"/>
  <c r="O71" i="8"/>
  <c r="O78" i="8" s="1"/>
  <c r="O83" i="8" s="1"/>
  <c r="AE48" i="8" l="1"/>
  <c r="AG136" i="8"/>
  <c r="O72" i="8"/>
  <c r="Z66" i="8"/>
  <c r="Z68" i="8" s="1"/>
  <c r="Z75" i="8" s="1"/>
  <c r="AA108" i="8"/>
  <c r="AA50" i="8" s="1"/>
  <c r="AA59" i="8" s="1"/>
  <c r="AB109" i="8"/>
  <c r="O86" i="8"/>
  <c r="O87" i="8" s="1"/>
  <c r="O90" i="8" s="1"/>
  <c r="O84" i="8"/>
  <c r="O89" i="8" s="1"/>
  <c r="O88" i="8"/>
  <c r="AC140" i="8"/>
  <c r="P71" i="8"/>
  <c r="P78" i="8" s="1"/>
  <c r="P83" i="8" s="1"/>
  <c r="AB67" i="8"/>
  <c r="AA76" i="8"/>
  <c r="AQ67" i="8"/>
  <c r="AC47" i="8"/>
  <c r="AC52" i="8"/>
  <c r="AC74" i="8"/>
  <c r="AD58" i="8"/>
  <c r="Q56" i="8"/>
  <c r="Q69" i="8" s="1"/>
  <c r="Q82" i="8"/>
  <c r="R53" i="8"/>
  <c r="AC137" i="8"/>
  <c r="AB49" i="8" s="1"/>
  <c r="AB141" i="8"/>
  <c r="AA73" i="8" l="1"/>
  <c r="AA85" i="8" s="1"/>
  <c r="AA99" i="8" s="1"/>
  <c r="AF48" i="8"/>
  <c r="AH136" i="8"/>
  <c r="P72" i="8"/>
  <c r="AA80" i="8"/>
  <c r="AA66" i="8"/>
  <c r="AA68" i="8" s="1"/>
  <c r="AB108" i="8"/>
  <c r="AB50" i="8" s="1"/>
  <c r="AB59" i="8" s="1"/>
  <c r="AB80" i="8" s="1"/>
  <c r="AC109" i="8"/>
  <c r="P86" i="8"/>
  <c r="P87" i="8" s="1"/>
  <c r="P90" i="8" s="1"/>
  <c r="P88" i="8"/>
  <c r="P84" i="8"/>
  <c r="P89" i="8" s="1"/>
  <c r="AA75" i="8"/>
  <c r="Q77" i="8"/>
  <c r="Q70" i="8"/>
  <c r="AB76" i="8"/>
  <c r="AC67" i="8"/>
  <c r="AD140" i="8"/>
  <c r="AD141" i="8"/>
  <c r="AD137" i="8"/>
  <c r="AC49" i="8" s="1"/>
  <c r="R55" i="8"/>
  <c r="AB61" i="8"/>
  <c r="AB60" i="8" s="1"/>
  <c r="AD47" i="8"/>
  <c r="AD74" i="8"/>
  <c r="AD52" i="8"/>
  <c r="AE58" i="8"/>
  <c r="AC141" i="8"/>
  <c r="AB73" i="8" l="1"/>
  <c r="AB85" i="8" s="1"/>
  <c r="AB99" i="8" s="1"/>
  <c r="AG48" i="8"/>
  <c r="AI136" i="8"/>
  <c r="AC73" i="8"/>
  <c r="AC85" i="8" s="1"/>
  <c r="AC99" i="8" s="1"/>
  <c r="AB66" i="8"/>
  <c r="AB68" i="8" s="1"/>
  <c r="AB75" i="8" s="1"/>
  <c r="AD109" i="8"/>
  <c r="AC108" i="8"/>
  <c r="AC50" i="8" s="1"/>
  <c r="AC59" i="8" s="1"/>
  <c r="AC80" i="8" s="1"/>
  <c r="AE47" i="8"/>
  <c r="AE74" i="8"/>
  <c r="AE52" i="8"/>
  <c r="AF58" i="8"/>
  <c r="R82" i="8"/>
  <c r="R56" i="8"/>
  <c r="R69" i="8" s="1"/>
  <c r="S53" i="8"/>
  <c r="AD67" i="8"/>
  <c r="AC76" i="8"/>
  <c r="Q71" i="8"/>
  <c r="Q78" i="8" s="1"/>
  <c r="Q83" i="8" s="1"/>
  <c r="AE137" i="8"/>
  <c r="AD49" i="8" s="1"/>
  <c r="AE140" i="8"/>
  <c r="AE141" i="8"/>
  <c r="AC61" i="8"/>
  <c r="AC60" i="8" s="1"/>
  <c r="AD73" i="8" l="1"/>
  <c r="AD85" i="8" s="1"/>
  <c r="AD99" i="8" s="1"/>
  <c r="AH48" i="8"/>
  <c r="AJ136" i="8"/>
  <c r="AC66" i="8"/>
  <c r="AC68" i="8" s="1"/>
  <c r="AE109" i="8"/>
  <c r="AD108" i="8"/>
  <c r="AD50" i="8"/>
  <c r="AD59" i="8" s="1"/>
  <c r="AC75" i="8"/>
  <c r="AD80" i="8"/>
  <c r="S55" i="8"/>
  <c r="Q86" i="8"/>
  <c r="Q87" i="8" s="1"/>
  <c r="Q90" i="8" s="1"/>
  <c r="Q84" i="8"/>
  <c r="Q89" i="8" s="1"/>
  <c r="Q88" i="8"/>
  <c r="AF140" i="8"/>
  <c r="AF141" i="8" s="1"/>
  <c r="R77" i="8"/>
  <c r="R70" i="8"/>
  <c r="AF47" i="8"/>
  <c r="AF52" i="8"/>
  <c r="AF74" i="8"/>
  <c r="AG58" i="8"/>
  <c r="AF137" i="8"/>
  <c r="AE49" i="8" s="1"/>
  <c r="Q72" i="8"/>
  <c r="AD76" i="8"/>
  <c r="AE67" i="8"/>
  <c r="AD61" i="8"/>
  <c r="AD60" i="8" s="1"/>
  <c r="AD66" i="8" s="1"/>
  <c r="AD68" i="8" s="1"/>
  <c r="AE73" i="8" l="1"/>
  <c r="AE85" i="8" s="1"/>
  <c r="AE99" i="8" s="1"/>
  <c r="AI48" i="8"/>
  <c r="AK136" i="8"/>
  <c r="AF109" i="8"/>
  <c r="AE108" i="8"/>
  <c r="AE50" i="8" s="1"/>
  <c r="AE59" i="8" s="1"/>
  <c r="AD75" i="8"/>
  <c r="AE76" i="8"/>
  <c r="AF67" i="8"/>
  <c r="AG137" i="8"/>
  <c r="AF49" i="8" s="1"/>
  <c r="AE61" i="8"/>
  <c r="AE60" i="8" s="1"/>
  <c r="AG140" i="8"/>
  <c r="AG141" i="8" s="1"/>
  <c r="S82" i="8"/>
  <c r="S56" i="8"/>
  <c r="S69" i="8" s="1"/>
  <c r="T53" i="8"/>
  <c r="AG52" i="8"/>
  <c r="AG74" i="8"/>
  <c r="AH58" i="8"/>
  <c r="AG47" i="8"/>
  <c r="R71" i="8"/>
  <c r="R78" i="8" s="1"/>
  <c r="R83" i="8" s="1"/>
  <c r="AF73" i="8" l="1"/>
  <c r="AF85" i="8" s="1"/>
  <c r="AF99" i="8" s="1"/>
  <c r="AJ48" i="8"/>
  <c r="AL136" i="8"/>
  <c r="R72" i="8"/>
  <c r="AE80" i="8"/>
  <c r="AE66" i="8"/>
  <c r="AE68" i="8" s="1"/>
  <c r="AG109" i="8"/>
  <c r="AF108" i="8"/>
  <c r="AF50" i="8" s="1"/>
  <c r="AF59" i="8" s="1"/>
  <c r="AF80" i="8" s="1"/>
  <c r="R86" i="8"/>
  <c r="R87" i="8" s="1"/>
  <c r="R90" i="8" s="1"/>
  <c r="R84" i="8"/>
  <c r="R89" i="8" s="1"/>
  <c r="R88" i="8"/>
  <c r="AH74" i="8"/>
  <c r="AH52" i="8"/>
  <c r="AI58" i="8"/>
  <c r="AH47" i="8"/>
  <c r="AE75" i="8"/>
  <c r="T55" i="8"/>
  <c r="S77" i="8"/>
  <c r="S70" i="8"/>
  <c r="AH140" i="8"/>
  <c r="AH141" i="8"/>
  <c r="AH137" i="8"/>
  <c r="AG49" i="8" s="1"/>
  <c r="AG67" i="8"/>
  <c r="AF76" i="8"/>
  <c r="AR67" i="8"/>
  <c r="AF61" i="8"/>
  <c r="AF60" i="8" s="1"/>
  <c r="AG73" i="8" l="1"/>
  <c r="AG85" i="8" s="1"/>
  <c r="AG99" i="8" s="1"/>
  <c r="AK48" i="8"/>
  <c r="AM136" i="8"/>
  <c r="AF66" i="8"/>
  <c r="AF68" i="8" s="1"/>
  <c r="AF75" i="8" s="1"/>
  <c r="AH109" i="8"/>
  <c r="AG108" i="8"/>
  <c r="AG50" i="8" s="1"/>
  <c r="AG59" i="8" s="1"/>
  <c r="AG80" i="8" s="1"/>
  <c r="AG76" i="8"/>
  <c r="AH67" i="8"/>
  <c r="AI140" i="8"/>
  <c r="AI141" i="8"/>
  <c r="T82" i="8"/>
  <c r="T56" i="8"/>
  <c r="T69" i="8" s="1"/>
  <c r="AI52" i="8"/>
  <c r="AI74" i="8"/>
  <c r="AJ58" i="8"/>
  <c r="AI47" i="8"/>
  <c r="AI137" i="8"/>
  <c r="AH49" i="8" s="1"/>
  <c r="S71" i="8"/>
  <c r="S78" i="8" s="1"/>
  <c r="S83" i="8" s="1"/>
  <c r="U53" i="8"/>
  <c r="AH61" i="8"/>
  <c r="AH60" i="8" s="1"/>
  <c r="AG61" i="8"/>
  <c r="AG60" i="8" s="1"/>
  <c r="AH73" i="8" l="1"/>
  <c r="AH85" i="8" s="1"/>
  <c r="AH99" i="8" s="1"/>
  <c r="AL48" i="8"/>
  <c r="AN136" i="8"/>
  <c r="AG66" i="8"/>
  <c r="AG68" i="8" s="1"/>
  <c r="AG75" i="8" s="1"/>
  <c r="S72" i="8"/>
  <c r="AH108" i="8"/>
  <c r="AH50" i="8" s="1"/>
  <c r="AH59" i="8" s="1"/>
  <c r="AI109" i="8"/>
  <c r="S86" i="8"/>
  <c r="S87" i="8" s="1"/>
  <c r="S90" i="8" s="1"/>
  <c r="S84" i="8"/>
  <c r="S89" i="8" s="1"/>
  <c r="S88" i="8"/>
  <c r="AJ137" i="8"/>
  <c r="AI49" i="8" s="1"/>
  <c r="U55" i="8"/>
  <c r="V53" i="8"/>
  <c r="AJ74" i="8"/>
  <c r="AJ52" i="8"/>
  <c r="AK58" i="8"/>
  <c r="AJ47" i="8"/>
  <c r="T77" i="8"/>
  <c r="T70" i="8"/>
  <c r="AJ140" i="8"/>
  <c r="AI67" i="8"/>
  <c r="AH76" i="8"/>
  <c r="AM48" i="8" l="1"/>
  <c r="AO136" i="8"/>
  <c r="AH66" i="8"/>
  <c r="AH68" i="8" s="1"/>
  <c r="AH75" i="8" s="1"/>
  <c r="AH80" i="8"/>
  <c r="AJ109" i="8"/>
  <c r="AI108" i="8"/>
  <c r="AI50" i="8" s="1"/>
  <c r="AI59" i="8" s="1"/>
  <c r="AI80" i="8" s="1"/>
  <c r="AK140" i="8"/>
  <c r="AK141" i="8" s="1"/>
  <c r="AK74" i="8"/>
  <c r="AK52" i="8"/>
  <c r="AL58" i="8"/>
  <c r="AK47" i="8"/>
  <c r="AJ67" i="8"/>
  <c r="AI76" i="8"/>
  <c r="AJ141" i="8"/>
  <c r="T71" i="8"/>
  <c r="T78" i="8" s="1"/>
  <c r="T83" i="8" s="1"/>
  <c r="V55" i="8"/>
  <c r="W53" i="8"/>
  <c r="U82" i="8"/>
  <c r="U56" i="8"/>
  <c r="U69" i="8" s="1"/>
  <c r="AI61" i="8"/>
  <c r="AI60" i="8" s="1"/>
  <c r="AK137" i="8"/>
  <c r="AJ49" i="8" s="1"/>
  <c r="AI73" i="8" l="1"/>
  <c r="AI85" i="8" s="1"/>
  <c r="AI99" i="8" s="1"/>
  <c r="AJ73" i="8"/>
  <c r="AJ85" i="8" s="1"/>
  <c r="AJ99" i="8" s="1"/>
  <c r="AN48" i="8"/>
  <c r="AP136" i="8"/>
  <c r="AJ108" i="8"/>
  <c r="AJ50" i="8" s="1"/>
  <c r="AJ59" i="8" s="1"/>
  <c r="AJ80" i="8" s="1"/>
  <c r="AK109" i="8"/>
  <c r="AI66" i="8"/>
  <c r="AI68" i="8" s="1"/>
  <c r="AI75" i="8" s="1"/>
  <c r="T86" i="8"/>
  <c r="T87" i="8" s="1"/>
  <c r="T90" i="8" s="1"/>
  <c r="T88" i="8"/>
  <c r="T84" i="8"/>
  <c r="T89" i="8" s="1"/>
  <c r="AL137" i="8"/>
  <c r="AK49" i="8" s="1"/>
  <c r="U77" i="8"/>
  <c r="U70" i="8"/>
  <c r="W55" i="8"/>
  <c r="V82" i="8"/>
  <c r="V56" i="8"/>
  <c r="V69" i="8" s="1"/>
  <c r="AK67" i="8"/>
  <c r="AJ76" i="8"/>
  <c r="AK61" i="8"/>
  <c r="AK60" i="8" s="1"/>
  <c r="AJ61" i="8"/>
  <c r="AJ60" i="8" s="1"/>
  <c r="T72" i="8"/>
  <c r="AL74" i="8"/>
  <c r="AL52" i="8"/>
  <c r="AL47" i="8"/>
  <c r="AM58" i="8"/>
  <c r="AL140" i="8"/>
  <c r="AL141" i="8" s="1"/>
  <c r="AK73" i="8" l="1"/>
  <c r="AK85" i="8" s="1"/>
  <c r="AK99" i="8" s="1"/>
  <c r="AO48" i="8"/>
  <c r="AQ136" i="8"/>
  <c r="AJ66" i="8"/>
  <c r="AJ68" i="8" s="1"/>
  <c r="AK108" i="8"/>
  <c r="AK50" i="8" s="1"/>
  <c r="AK59" i="8" s="1"/>
  <c r="AL109" i="8"/>
  <c r="AJ75" i="8"/>
  <c r="W82" i="8"/>
  <c r="W56" i="8"/>
  <c r="W69" i="8" s="1"/>
  <c r="V77" i="8"/>
  <c r="V70" i="8"/>
  <c r="AL67" i="8"/>
  <c r="AK76" i="8"/>
  <c r="X53" i="8"/>
  <c r="U71" i="8"/>
  <c r="U78" i="8" s="1"/>
  <c r="U83" i="8" s="1"/>
  <c r="AM140" i="8"/>
  <c r="AM141" i="8" s="1"/>
  <c r="AM74" i="8"/>
  <c r="AM52" i="8"/>
  <c r="AM47" i="8"/>
  <c r="AN58" i="8"/>
  <c r="AM137" i="8"/>
  <c r="AL49" i="8" s="1"/>
  <c r="AR136" i="8" l="1"/>
  <c r="AP48" i="8"/>
  <c r="AL73" i="8"/>
  <c r="AL85" i="8" s="1"/>
  <c r="AL99" i="8" s="1"/>
  <c r="AK66" i="8"/>
  <c r="AK68" i="8" s="1"/>
  <c r="AK75" i="8" s="1"/>
  <c r="AK80" i="8"/>
  <c r="AL108" i="8"/>
  <c r="AL50" i="8" s="1"/>
  <c r="AL59" i="8" s="1"/>
  <c r="AL80" i="8" s="1"/>
  <c r="AM109" i="8"/>
  <c r="U86" i="8"/>
  <c r="U87" i="8" s="1"/>
  <c r="U90" i="8" s="1"/>
  <c r="U84" i="8"/>
  <c r="U89" i="8" s="1"/>
  <c r="U88" i="8"/>
  <c r="AN137" i="8"/>
  <c r="AM49" i="8" s="1"/>
  <c r="AN52" i="8"/>
  <c r="AN74" i="8"/>
  <c r="AO58" i="8"/>
  <c r="AN47" i="8"/>
  <c r="AM61" i="8"/>
  <c r="AM60" i="8" s="1"/>
  <c r="AN140" i="8"/>
  <c r="AN141" i="8" s="1"/>
  <c r="U72" i="8"/>
  <c r="AL76" i="8"/>
  <c r="AM67" i="8"/>
  <c r="W77" i="8"/>
  <c r="W70" i="8"/>
  <c r="AL61" i="8"/>
  <c r="AL60" i="8" s="1"/>
  <c r="X55" i="8"/>
  <c r="V71" i="8"/>
  <c r="V78" i="8" s="1"/>
  <c r="V83" i="8" s="1"/>
  <c r="AM73" i="8" l="1"/>
  <c r="AM85" i="8" s="1"/>
  <c r="AM99" i="8" s="1"/>
  <c r="AS136" i="8"/>
  <c r="AQ48" i="8"/>
  <c r="V72" i="8"/>
  <c r="AL66" i="8"/>
  <c r="AL68" i="8" s="1"/>
  <c r="AN109" i="8"/>
  <c r="AM108" i="8"/>
  <c r="AM50" i="8" s="1"/>
  <c r="AM59" i="8" s="1"/>
  <c r="V86" i="8"/>
  <c r="V87" i="8" s="1"/>
  <c r="V90" i="8" s="1"/>
  <c r="V84" i="8"/>
  <c r="V89" i="8" s="1"/>
  <c r="V88" i="8"/>
  <c r="AL75" i="8"/>
  <c r="W71" i="8"/>
  <c r="W78" i="8" s="1"/>
  <c r="W83" i="8" s="1"/>
  <c r="AN67" i="8"/>
  <c r="AM76" i="8"/>
  <c r="AO140" i="8"/>
  <c r="AO141" i="8" s="1"/>
  <c r="X82" i="8"/>
  <c r="X56" i="8"/>
  <c r="X69" i="8" s="1"/>
  <c r="Y53" i="8"/>
  <c r="AO74" i="8"/>
  <c r="AO52" i="8"/>
  <c r="AO47" i="8"/>
  <c r="AP58" i="8"/>
  <c r="AO137" i="8"/>
  <c r="AN49" i="8" s="1"/>
  <c r="AN73" i="8" l="1"/>
  <c r="AN85" i="8" s="1"/>
  <c r="AN99" i="8" s="1"/>
  <c r="AT136" i="8"/>
  <c r="AR48" i="8"/>
  <c r="AM80" i="8"/>
  <c r="AM66" i="8"/>
  <c r="AM68" i="8" s="1"/>
  <c r="AM75" i="8" s="1"/>
  <c r="AN108" i="8"/>
  <c r="AN50" i="8" s="1"/>
  <c r="AN59" i="8" s="1"/>
  <c r="AO109" i="8"/>
  <c r="Y55" i="8"/>
  <c r="Z53" i="8"/>
  <c r="AN61" i="8"/>
  <c r="AN60" i="8" s="1"/>
  <c r="AN76" i="8"/>
  <c r="AO67" i="8"/>
  <c r="AP74" i="8"/>
  <c r="AP52" i="8"/>
  <c r="AP47" i="8"/>
  <c r="AP137" i="8"/>
  <c r="AO49" i="8" s="1"/>
  <c r="W86" i="8"/>
  <c r="W87" i="8" s="1"/>
  <c r="W90" i="8" s="1"/>
  <c r="W88" i="8"/>
  <c r="W84" i="8"/>
  <c r="W89" i="8" s="1"/>
  <c r="X77" i="8"/>
  <c r="X70" i="8"/>
  <c r="AP140" i="8"/>
  <c r="W72" i="8"/>
  <c r="AU136" i="8" l="1"/>
  <c r="AS48" i="8"/>
  <c r="AN66" i="8"/>
  <c r="AN68" i="8" s="1"/>
  <c r="AN75" i="8" s="1"/>
  <c r="AN80" i="8"/>
  <c r="AO108" i="8"/>
  <c r="AO50" i="8" s="1"/>
  <c r="AO59" i="8" s="1"/>
  <c r="AO80" i="8" s="1"/>
  <c r="AP109" i="8"/>
  <c r="AP108" i="8" s="1"/>
  <c r="X71" i="8"/>
  <c r="X78" i="8" s="1"/>
  <c r="X83" i="8" s="1"/>
  <c r="AO76" i="8"/>
  <c r="AP67" i="8"/>
  <c r="AQ140" i="8"/>
  <c r="AQ141" i="8" s="1"/>
  <c r="AP73" i="8" s="1"/>
  <c r="AP141" i="8"/>
  <c r="Y82" i="8"/>
  <c r="Y56" i="8"/>
  <c r="Y69" i="8" s="1"/>
  <c r="AQ137" i="8"/>
  <c r="Z55" i="8"/>
  <c r="AA53" i="8"/>
  <c r="AO61" i="8"/>
  <c r="AO60" i="8" s="1"/>
  <c r="AP85" i="8" l="1"/>
  <c r="AP99" i="8" s="1"/>
  <c r="AQ99" i="8" s="1"/>
  <c r="A100" i="8" s="1"/>
  <c r="AO73" i="8"/>
  <c r="AO85" i="8" s="1"/>
  <c r="AO99" i="8" s="1"/>
  <c r="AR137" i="8"/>
  <c r="AP49" i="8"/>
  <c r="AV136" i="8"/>
  <c r="AT48" i="8"/>
  <c r="X72" i="8"/>
  <c r="AO66" i="8"/>
  <c r="AO68" i="8" s="1"/>
  <c r="AO75" i="8" s="1"/>
  <c r="AA55" i="8"/>
  <c r="AB53" i="8"/>
  <c r="AR140" i="8"/>
  <c r="Z82" i="8"/>
  <c r="Z56" i="8"/>
  <c r="Z69" i="8" s="1"/>
  <c r="Y77" i="8"/>
  <c r="Y70" i="8"/>
  <c r="AP76" i="8"/>
  <c r="AS67" i="8"/>
  <c r="X86" i="8"/>
  <c r="X87" i="8" s="1"/>
  <c r="X90" i="8" s="1"/>
  <c r="X84" i="8"/>
  <c r="X89" i="8" s="1"/>
  <c r="X88" i="8"/>
  <c r="AW136" i="8" l="1"/>
  <c r="AU48" i="8"/>
  <c r="AP61" i="8"/>
  <c r="AP60" i="8" s="1"/>
  <c r="AP50" i="8"/>
  <c r="AP59" i="8" s="1"/>
  <c r="AS137" i="8"/>
  <c r="AQ49" i="8"/>
  <c r="AS140" i="8"/>
  <c r="AS141" i="8" s="1"/>
  <c r="AR73" i="8" s="1"/>
  <c r="Y71" i="8"/>
  <c r="Y78" i="8" s="1"/>
  <c r="Y83" i="8" s="1"/>
  <c r="Z77" i="8"/>
  <c r="Z70" i="8"/>
  <c r="AA82" i="8"/>
  <c r="AA56" i="8"/>
  <c r="AA69" i="8" s="1"/>
  <c r="AR141" i="8"/>
  <c r="AQ73" i="8" s="1"/>
  <c r="AB55" i="8"/>
  <c r="AC53" i="8"/>
  <c r="AT137" i="8" l="1"/>
  <c r="AR49" i="8"/>
  <c r="AP66" i="8"/>
  <c r="AP68" i="8" s="1"/>
  <c r="AP75" i="8" s="1"/>
  <c r="AP80" i="8"/>
  <c r="AX136" i="8"/>
  <c r="AV48" i="8"/>
  <c r="Y72" i="8"/>
  <c r="Y86" i="8"/>
  <c r="Y87" i="8" s="1"/>
  <c r="Y90" i="8" s="1"/>
  <c r="Y84" i="8"/>
  <c r="Y89" i="8" s="1"/>
  <c r="Y88" i="8"/>
  <c r="AB82" i="8"/>
  <c r="AB56" i="8"/>
  <c r="AB69" i="8" s="1"/>
  <c r="AA77" i="8"/>
  <c r="AA70" i="8"/>
  <c r="AC55" i="8"/>
  <c r="AD53" i="8"/>
  <c r="Z71" i="8"/>
  <c r="Z78" i="8" s="1"/>
  <c r="Z83" i="8" s="1"/>
  <c r="AT140" i="8"/>
  <c r="AY136" i="8" l="1"/>
  <c r="AX48" i="8" s="1"/>
  <c r="AW48" i="8"/>
  <c r="AU137" i="8"/>
  <c r="AS49" i="8"/>
  <c r="Z72" i="8"/>
  <c r="Z86" i="8"/>
  <c r="Z87" i="8" s="1"/>
  <c r="Z90" i="8" s="1"/>
  <c r="Z84" i="8"/>
  <c r="Z89" i="8" s="1"/>
  <c r="Z88" i="8"/>
  <c r="AU140" i="8"/>
  <c r="AU141" i="8" s="1"/>
  <c r="AT73" i="8" s="1"/>
  <c r="AB77" i="8"/>
  <c r="AB70" i="8"/>
  <c r="AT141" i="8"/>
  <c r="AS73" i="8" s="1"/>
  <c r="AD55" i="8"/>
  <c r="AE53" i="8"/>
  <c r="AC82" i="8"/>
  <c r="AC56" i="8"/>
  <c r="AC69" i="8" s="1"/>
  <c r="AA71" i="8"/>
  <c r="AA78" i="8" s="1"/>
  <c r="AA83" i="8" s="1"/>
  <c r="AV137" i="8" l="1"/>
  <c r="AT49" i="8"/>
  <c r="AA72" i="8"/>
  <c r="AA86" i="8"/>
  <c r="AA87" i="8" s="1"/>
  <c r="AA90" i="8" s="1"/>
  <c r="AA84" i="8"/>
  <c r="AA89" i="8" s="1"/>
  <c r="AA88" i="8"/>
  <c r="AC77" i="8"/>
  <c r="AC70" i="8"/>
  <c r="AE55" i="8"/>
  <c r="AF53" i="8"/>
  <c r="AD82" i="8"/>
  <c r="AD56" i="8"/>
  <c r="AD69" i="8" s="1"/>
  <c r="AB71" i="8"/>
  <c r="AB78" i="8" s="1"/>
  <c r="AB83" i="8" s="1"/>
  <c r="AV140" i="8"/>
  <c r="AW137" i="8" l="1"/>
  <c r="AU49" i="8"/>
  <c r="AB86" i="8"/>
  <c r="AB87" i="8" s="1"/>
  <c r="AB90" i="8" s="1"/>
  <c r="AB88" i="8"/>
  <c r="AB84" i="8"/>
  <c r="AB89" i="8" s="1"/>
  <c r="AW140" i="8"/>
  <c r="AV141" i="8"/>
  <c r="AU73" i="8" s="1"/>
  <c r="AB72" i="8"/>
  <c r="AD77" i="8"/>
  <c r="AD70" i="8"/>
  <c r="AF55" i="8"/>
  <c r="AE82" i="8"/>
  <c r="AE56" i="8"/>
  <c r="AE69" i="8" s="1"/>
  <c r="AC71" i="8"/>
  <c r="AC78" i="8" s="1"/>
  <c r="AC83" i="8" s="1"/>
  <c r="AX137" i="8" l="1"/>
  <c r="AV49" i="8"/>
  <c r="AC86" i="8"/>
  <c r="AC87" i="8" s="1"/>
  <c r="AC90" i="8" s="1"/>
  <c r="AC88" i="8"/>
  <c r="AC84" i="8"/>
  <c r="AC89" i="8" s="1"/>
  <c r="AE77" i="8"/>
  <c r="AE70" i="8"/>
  <c r="AF82" i="8"/>
  <c r="AF56" i="8"/>
  <c r="AF69" i="8" s="1"/>
  <c r="AD71" i="8"/>
  <c r="AD78" i="8" s="1"/>
  <c r="AD83" i="8" s="1"/>
  <c r="AG53" i="8"/>
  <c r="AC72" i="8"/>
  <c r="AX140" i="8"/>
  <c r="AX141" i="8" s="1"/>
  <c r="AW73" i="8" s="1"/>
  <c r="AW141" i="8"/>
  <c r="AV73" i="8" s="1"/>
  <c r="AY137" i="8" l="1"/>
  <c r="AX49" i="8" s="1"/>
  <c r="AW49" i="8"/>
  <c r="AD86" i="8"/>
  <c r="AD87" i="8" s="1"/>
  <c r="AD90" i="8" s="1"/>
  <c r="AD88" i="8"/>
  <c r="AD84" i="8"/>
  <c r="AD89" i="8" s="1"/>
  <c r="AG55" i="8"/>
  <c r="AD72" i="8"/>
  <c r="AE71" i="8"/>
  <c r="AE78" i="8" s="1"/>
  <c r="AE83" i="8" s="1"/>
  <c r="AY140" i="8"/>
  <c r="AY141" i="8" s="1"/>
  <c r="AX73" i="8" s="1"/>
  <c r="AF77" i="8"/>
  <c r="AF70" i="8"/>
  <c r="AE72" i="8" l="1"/>
  <c r="AE86" i="8"/>
  <c r="AE87" i="8" s="1"/>
  <c r="AE90" i="8" s="1"/>
  <c r="AE88" i="8"/>
  <c r="AE84" i="8"/>
  <c r="AE89" i="8" s="1"/>
  <c r="AG82" i="8"/>
  <c r="AG56" i="8"/>
  <c r="AG69" i="8" s="1"/>
  <c r="AF71" i="8"/>
  <c r="AF78" i="8" s="1"/>
  <c r="AF83" i="8" s="1"/>
  <c r="AH53" i="8"/>
  <c r="AF86" i="8" l="1"/>
  <c r="AF87" i="8" s="1"/>
  <c r="AF90" i="8" s="1"/>
  <c r="AF84" i="8"/>
  <c r="AF89" i="8" s="1"/>
  <c r="AF88" i="8"/>
  <c r="AH55" i="8"/>
  <c r="AI53" i="8"/>
  <c r="AF72" i="8"/>
  <c r="AG77" i="8"/>
  <c r="AG70" i="8"/>
  <c r="AG71" i="8" l="1"/>
  <c r="AG78" i="8" s="1"/>
  <c r="AG83" i="8" s="1"/>
  <c r="AI55" i="8"/>
  <c r="AJ53" i="8"/>
  <c r="AH56" i="8"/>
  <c r="AH69" i="8" s="1"/>
  <c r="AH82" i="8"/>
  <c r="AG72" i="8" l="1"/>
  <c r="AG86" i="8"/>
  <c r="AG87" i="8" s="1"/>
  <c r="AG90" i="8" s="1"/>
  <c r="AG88" i="8"/>
  <c r="AG84" i="8"/>
  <c r="AG89" i="8" s="1"/>
  <c r="AI82" i="8"/>
  <c r="AI56" i="8"/>
  <c r="AI69" i="8" s="1"/>
  <c r="AH77" i="8"/>
  <c r="AH70" i="8"/>
  <c r="AJ55" i="8"/>
  <c r="AK53" i="8"/>
  <c r="AJ82" i="8" l="1"/>
  <c r="AJ56" i="8"/>
  <c r="AJ69" i="8" s="1"/>
  <c r="AH71" i="8"/>
  <c r="AH78" i="8" s="1"/>
  <c r="AH83" i="8" s="1"/>
  <c r="AK55" i="8"/>
  <c r="AL53" i="8" s="1"/>
  <c r="AI77" i="8"/>
  <c r="AI70" i="8"/>
  <c r="AL55" i="8" l="1"/>
  <c r="AM53" i="8"/>
  <c r="AI71" i="8"/>
  <c r="AI78" i="8" s="1"/>
  <c r="AI72" i="8"/>
  <c r="AH86" i="8"/>
  <c r="AH87" i="8" s="1"/>
  <c r="AH90" i="8" s="1"/>
  <c r="AH88" i="8"/>
  <c r="AH84" i="8"/>
  <c r="AH89" i="8" s="1"/>
  <c r="AI83" i="8"/>
  <c r="AJ77" i="8"/>
  <c r="AJ70" i="8"/>
  <c r="AK82" i="8"/>
  <c r="AK56" i="8"/>
  <c r="AK69" i="8" s="1"/>
  <c r="AH72" i="8"/>
  <c r="AK77" i="8" l="1"/>
  <c r="AK70" i="8"/>
  <c r="AJ71" i="8"/>
  <c r="AJ78" i="8" s="1"/>
  <c r="AJ83" i="8" s="1"/>
  <c r="AI86" i="8"/>
  <c r="AI87" i="8" s="1"/>
  <c r="AI90" i="8" s="1"/>
  <c r="AI84" i="8"/>
  <c r="AI89" i="8" s="1"/>
  <c r="AI88" i="8"/>
  <c r="AM55" i="8"/>
  <c r="AN53" i="8"/>
  <c r="AL56" i="8"/>
  <c r="AL69" i="8" s="1"/>
  <c r="AL82" i="8"/>
  <c r="AJ86" i="8" l="1"/>
  <c r="AJ87" i="8" s="1"/>
  <c r="AJ90" i="8" s="1"/>
  <c r="AJ88" i="8"/>
  <c r="AJ84" i="8"/>
  <c r="AJ89" i="8" s="1"/>
  <c r="AN55" i="8"/>
  <c r="AO53" i="8"/>
  <c r="AM82" i="8"/>
  <c r="AM56" i="8"/>
  <c r="AM69" i="8" s="1"/>
  <c r="AJ72" i="8"/>
  <c r="AL77" i="8"/>
  <c r="AL70" i="8"/>
  <c r="AK71" i="8"/>
  <c r="AK78" i="8" s="1"/>
  <c r="AK83" i="8" s="1"/>
  <c r="AK72" i="8" l="1"/>
  <c r="AK86" i="8"/>
  <c r="AK87" i="8" s="1"/>
  <c r="AK90" i="8" s="1"/>
  <c r="AK84" i="8"/>
  <c r="AK89" i="8" s="1"/>
  <c r="AK88" i="8"/>
  <c r="AL71" i="8"/>
  <c r="AL78" i="8" s="1"/>
  <c r="AL83" i="8" s="1"/>
  <c r="AM77" i="8"/>
  <c r="AM70" i="8"/>
  <c r="AO55" i="8"/>
  <c r="AP53" i="8"/>
  <c r="AP55" i="8" s="1"/>
  <c r="AN82" i="8"/>
  <c r="AN56" i="8"/>
  <c r="AN69" i="8" s="1"/>
  <c r="AL72" i="8" l="1"/>
  <c r="AL86" i="8"/>
  <c r="AL87" i="8" s="1"/>
  <c r="AL90" i="8" s="1"/>
  <c r="AL88" i="8"/>
  <c r="AL84" i="8"/>
  <c r="AL89" i="8" s="1"/>
  <c r="AP82" i="8"/>
  <c r="AP56" i="8"/>
  <c r="AP69" i="8" s="1"/>
  <c r="AO56" i="8"/>
  <c r="AO69" i="8" s="1"/>
  <c r="AO82" i="8"/>
  <c r="AM71" i="8"/>
  <c r="AM78" i="8" s="1"/>
  <c r="AM83" i="8" s="1"/>
  <c r="AN77" i="8"/>
  <c r="AN70" i="8"/>
  <c r="AM86" i="8" l="1"/>
  <c r="AM87" i="8" s="1"/>
  <c r="AM90" i="8" s="1"/>
  <c r="AM88" i="8"/>
  <c r="AM84" i="8"/>
  <c r="AM89" i="8" s="1"/>
  <c r="AN71" i="8"/>
  <c r="AN78" i="8" s="1"/>
  <c r="AN83" i="8" s="1"/>
  <c r="AM72" i="8"/>
  <c r="AO77" i="8"/>
  <c r="AO70" i="8"/>
  <c r="AP77" i="8"/>
  <c r="AP70" i="8"/>
  <c r="AP71" i="8" l="1"/>
  <c r="AO71" i="8"/>
  <c r="AO78" i="8" s="1"/>
  <c r="AO83" i="8" s="1"/>
  <c r="AN86" i="8"/>
  <c r="AN87" i="8" s="1"/>
  <c r="AN90" i="8" s="1"/>
  <c r="AN88" i="8"/>
  <c r="AN84" i="8"/>
  <c r="AN89" i="8" s="1"/>
  <c r="AN72" i="8"/>
  <c r="AO72" i="8" l="1"/>
  <c r="AO86" i="8"/>
  <c r="AO87" i="8" s="1"/>
  <c r="AO90" i="8" s="1"/>
  <c r="AO88" i="8"/>
  <c r="AO84" i="8"/>
  <c r="AO89" i="8" s="1"/>
  <c r="AP78" i="8"/>
  <c r="AP83" i="8" s="1"/>
  <c r="AP72" i="8"/>
  <c r="AP86" i="8" l="1"/>
  <c r="AP87" i="8" s="1"/>
  <c r="AP88" i="8"/>
  <c r="AP84" i="8"/>
  <c r="AP89" i="8" s="1"/>
  <c r="AP90" i="8" l="1"/>
  <c r="A101" i="8"/>
  <c r="B102" i="8" s="1"/>
</calcChain>
</file>

<file path=xl/sharedStrings.xml><?xml version="1.0" encoding="utf-8"?>
<sst xmlns="http://schemas.openxmlformats.org/spreadsheetml/2006/main" count="1459" uniqueCount="681">
  <si>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</si>
  <si>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</si>
  <si>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</si>
  <si>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</si>
  <si>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</si>
  <si>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</si>
  <si>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</si>
  <si>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O_22-1256</t>
  </si>
  <si>
    <t xml:space="preserve">         (идентификатор инвестиционного проекта)</t>
  </si>
  <si>
    <t>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</si>
  <si>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</si>
  <si>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</si>
  <si>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</si>
  <si>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</si>
  <si>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</si>
  <si>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</si>
  <si>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</si>
  <si>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</si>
  <si>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</si>
  <si>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</si>
  <si>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</si>
  <si>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</si>
  <si>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</si>
  <si>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</si>
  <si>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</si>
  <si>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</si>
  <si>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</si>
  <si>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</si>
  <si>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</si>
  <si>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</si>
  <si>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</si>
  <si>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</si>
  <si>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</si>
  <si>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</si>
  <si>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</si>
  <si>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</si>
  <si>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</si>
  <si>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</si>
  <si>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</si>
  <si>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</si>
  <si>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</si>
  <si>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</si>
  <si>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</si>
  <si>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</si>
  <si>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</si>
  <si>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</si>
  <si>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</si>
  <si>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</si>
  <si>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</si>
  <si>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</si>
  <si>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</si>
  <si>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</si>
  <si>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</si>
  <si>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</si>
  <si>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</si>
  <si>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</si>
  <si>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</si>
  <si>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</si>
  <si>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</si>
  <si>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</si>
  <si>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</si>
  <si>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</si>
  <si>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</si>
  <si>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</si>
  <si>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</si>
  <si>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</si>
  <si>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</si>
  <si>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</si>
  <si>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</si>
  <si>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</si>
  <si>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</si>
  <si>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</si>
  <si>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</si>
  <si>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</si>
  <si>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</si>
  <si>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</si>
  <si>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</si>
  <si>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</si>
  <si>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</si>
  <si>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</si>
  <si>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</si>
  <si>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</si>
  <si>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</si>
  <si>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</si>
  <si>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</si>
  <si>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</si>
  <si>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</si>
  <si>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</si>
  <si>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</si>
  <si>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</si>
  <si>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</si>
  <si>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</si>
  <si>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</si>
  <si>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</si>
  <si>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</si>
  <si>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</si>
  <si>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</si>
  <si>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</si>
  <si>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</si>
  <si>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</si>
  <si>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</si>
  <si>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</si>
  <si>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</si>
  <si>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</si>
  <si>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</si>
  <si>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</si>
  <si>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</si>
  <si>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</si>
  <si>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</si>
  <si>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</si>
  <si>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</si>
  <si>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</si>
  <si>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</si>
  <si>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</si>
  <si>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</si>
  <si>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</si>
  <si>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</si>
  <si>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</si>
  <si>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</si>
  <si>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</si>
  <si>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</si>
  <si>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</si>
  <si>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</si>
  <si>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</si>
  <si>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</si>
  <si>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</si>
  <si>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</si>
  <si>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</si>
  <si>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</si>
  <si>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</si>
  <si>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</si>
  <si>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</si>
  <si>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</si>
  <si>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</si>
  <si>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</si>
  <si>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</si>
  <si>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</si>
  <si>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</si>
  <si>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</si>
  <si>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</si>
  <si>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</si>
  <si>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КЛ-6 кВ ПС О-53 - РП-III (6-11)</t>
  </si>
  <si>
    <t>от ПС 0-53 до переходной муфты MCI (т. «Е»)</t>
  </si>
  <si>
    <t>КЛ</t>
  </si>
  <si>
    <t>в земле</t>
  </si>
  <si>
    <t>прав.берег</t>
  </si>
  <si>
    <t>КЛ-10 кВ ПС О-53- ТП-687 (10-02)</t>
  </si>
  <si>
    <t>от ПС 0-53 до соед. муфты МС2 (т. «Б»)</t>
  </si>
  <si>
    <t>КЛ-6 кВ ПС О-53 - РП-III (6-20)</t>
  </si>
  <si>
    <t>от ПС 0-53 до переходной муфты МСЗ (т. «Е»)</t>
  </si>
  <si>
    <t>КЛ-6 кВ ПС О-53- РП-IV (6-19)</t>
  </si>
  <si>
    <t xml:space="preserve"> от ПС 0-53 до переходной муфты МС4 (т. «Г»)</t>
  </si>
  <si>
    <t>КЛ-6 кВ ПС О-53- РП-IV (6-01)</t>
  </si>
  <si>
    <t>от ПС 0-53 до переходной муфты МС5 (т. «Г»)</t>
  </si>
  <si>
    <t>КЛ-6 кВ ПС О-53- РП-IV (6-22)</t>
  </si>
  <si>
    <t>от ПС 0-53 до переходной муфты МС6 (т. «Г»)</t>
  </si>
  <si>
    <t>КЛ-10 кВ ПС О-53 - РП-XV (10-34)</t>
  </si>
  <si>
    <t>от ПС 0-53 до соед. муфты МС8 (т. «И»)</t>
  </si>
  <si>
    <t>КЛ-10 кВ ПС О-53- ТП-972 (10-05)</t>
  </si>
  <si>
    <t>от ПС 0-53 до соед. муфты МС9 (т. «И»)</t>
  </si>
  <si>
    <t>КЛ-10 кВ ПС О-53- ТП-971 (10-21)</t>
  </si>
  <si>
    <t>от ПС 0-53 до соед. муфты MC10 (т. «И»)</t>
  </si>
  <si>
    <t>КЛ-6 кВ ПС О-53- РП-IХ (6-16)</t>
  </si>
  <si>
    <t>от ПС 0-53 до переходной муфты MC11 (т. «Ж»)</t>
  </si>
  <si>
    <t>КЛ-10 кВ ПС О-53- ТП-140 (10-30)</t>
  </si>
  <si>
    <t>от ПС 0-53 до переходной муфты МС12 (т. «Ж»)</t>
  </si>
  <si>
    <t>КЛ-6 кВ ПС О-53- РП-IХ (6-15)</t>
  </si>
  <si>
    <t>от ПС 0-53 до переходной муфты МС13 (т. «Ж»)</t>
  </si>
  <si>
    <t>КЛ-10 кВ ПС О-53- РП-Х (10-28)</t>
  </si>
  <si>
    <t>от ПС 0-53 до переходной муфты МС14 (т. «Ж»)</t>
  </si>
  <si>
    <t>КЛ-10 кВ ПС О-53- РП-Х (10-06)</t>
  </si>
  <si>
    <t>от ПС 0-53 до соед, муфты МС15 (т. «Ж»)</t>
  </si>
  <si>
    <t>КЛ-10 кВ ПС О-53- РП-I (10-12)</t>
  </si>
  <si>
    <t>от ПС 0-53 до переходной муфты MC16 (т. «Ж»)</t>
  </si>
  <si>
    <t>КЛ-10 кВ ПС О-53 - РП-I (10-10)</t>
  </si>
  <si>
    <t>от ПС 0-53 до переходной муфты МС17 (т. «Ж»)</t>
  </si>
  <si>
    <t>КЛ-10 кВ ПС О-53 - РП-ХII (10-14)</t>
  </si>
  <si>
    <t>от ПС 0-53 до соед. муфты MC18 (т. «Ж»)</t>
  </si>
  <si>
    <t>КЛ-10 кВ ПС О-53 - РП-ХII (10-42)</t>
  </si>
  <si>
    <t>от ПС 0-53 до соед. муфты MC19 (т. «Ж»)</t>
  </si>
  <si>
    <t>КЛ-10 кВ ПС О-53 -ТП-303 (10-40)</t>
  </si>
  <si>
    <t>от переходной муфты МС20.1 (т. «К») до переходной муфты МС20.2 (т. «Л»)</t>
  </si>
  <si>
    <t>240, 95</t>
  </si>
  <si>
    <t>КЛ-10 кВ ПС О-53 -РП-ХХII (10-38)</t>
  </si>
  <si>
    <t>от переходной муфты МС21.1 (т. «К») до переходной муфты МС21.2 (т. «С»)</t>
  </si>
  <si>
    <t>185, 240</t>
  </si>
  <si>
    <t>КЛ-10 кВ ПС О-53 -РП-ХХII (10-08)</t>
  </si>
  <si>
    <t>от переходной муфты МС22.1 (т. «К») до переходной муфты МС22.2 (т. «С»)</t>
  </si>
  <si>
    <t>КЛ-10 кВ ПС О-53 - РП-XV (10-04)</t>
  </si>
  <si>
    <t>от ПС 0-53 до соед. муфты МС26 (т. «Ж»)</t>
  </si>
  <si>
    <t xml:space="preserve"> КЛ-6 кВ ПС О-53- ТП-588 (6-14)</t>
  </si>
  <si>
    <t>от ПС 0-53 до переходной муфты МС7 (т. «А»)</t>
  </si>
  <si>
    <t>КЛ-10 кВ РП-ХХ - ТП-374</t>
  </si>
  <si>
    <t>от РП-ХХ до переходной муфты МС3 (т. «У*»)</t>
  </si>
  <si>
    <t>лев.берег</t>
  </si>
  <si>
    <t>КЛ-10 кВ ПС О-17 - РП-ХII (17-13)</t>
  </si>
  <si>
    <t>от переходной муфты МС5.1 (т. «Ф») до переходной муфты МС5.2 (т. «М»)</t>
  </si>
  <si>
    <t xml:space="preserve"> КЛ-10 кВ РП-ХХ - ТП-301</t>
  </si>
  <si>
    <t>от РП-ХХ до переходной муфты МС4 (т. «У*»)</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</si>
  <si>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</si>
  <si>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</si>
  <si>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КЛ 6-10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</si>
  <si>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</si>
  <si>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</si>
  <si>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1.1.Строительство участка КЛ 10 кВ от ПС 110 кВ О-53 до с/м в сторону ТП-687 (10-02) кабелем 3хАПвПу2г-10 1х240/50 длиной 0,387 км; 
1.2.Строительство участка КЛ 10 кВ от ПС 110 кВ О-53 до с/м в сторону РП-ХХII (10-08) кабелем 3хАПвПу2г-10 1х240/70 длиной 0,733 км, в т.ч. прокол ГНБ 0,2265 км (1раб + 1рез, d=160);
1.3.Строительство участка КЛ 10 кВ от ПС 110 кВ О-53 до с/м в сторону РП-Х (10-06) кабелем 3хАПвПу2г-10 1х240/70 длиной 0,325 км;
1.4.Строительство участка КЛ 10 кВ от ПС 110 кВ О-53 до с/м в сторону ТП-972 (10-05) кабелем 3хАПвПу2г-10 1х240/70 длиной 0,243 км, в т.ч. прокол ГНБ 0,159 км (1раб + 1рез, d=160);
1.5.Строительство участка КЛ 10 кВ от ПС 110 кВ О-53 до с/м в сторону РП-ХII (10-14) кабелем 3хАПвПу2г-10 1х500/70 длиной 0,274 км;
1.6.Строительство участка КЛ 10 кВ от ПС 110 кВ О-53 до с/м в сторону ТП-303 (10-40) кабелем 3хАПвПу2г-10 1х240/70 длиной 0,709 км, в т.ч. прокол ГНБ 0,2038 км (1раб + 1рез, d=160);
1.7.Строительство участка КЛ 10 кВ от ПС 110 кВ О-53 до с/м в сторону РП-ХII (10-42) кабелем 3хАПвПу2г-10 1х500/70 длиной 0,275 км;
1.8.Строительство участка КЛ 10 кВ от ПС 110 кВ О-53 до с/м в сторону РП-ХV (10-34) кабелем 3хАПвПу2г-10 1х500/70 длиной 0,298 км;
1.9.Строительство участка КЛ 10 кВ от ПС 110 кВ О-53 до с/м в сторону РП-I  (10-10) кабелем 3хАПвПу2г-10 1х240/70 длиной 0,294 км;
1.10.Строительство участка КЛ 10 кВ от ПС 110 кВ О-53 до с/м в сторону РП-I  (10-12) кабелем 3хАПвПу2г-10 1х240/70 длиной 0,332 км;
1.11.Строительство участка КЛ 10 кВ от ПС 110 кВ О-53 до с/м в сторону РП-ХV (10-04) кабелем 3хАПвПу2г-10 1х240/70 длиной 0,279 км, в т.ч. прокол ГНБ 0,0934 км (1раб + 1рез, d=160);
1.12.Строительство участка КЛ 10 кВ от ПС 110 кВ О-53 до с/м в сторону ТП-971 (10-21) кабелем 3хАПвПу2г-10 1х240/50 длиной 0,252 км, в т.ч. прокол ГНБ 0,157 км (1раб + 1рез, d=160);
1.13.Строительство участка КЛ 10 кВ от ПС 110 кВ О-53 до с/м в сторону РП-Х (10-06) кабелем 3хАПвПу2г-10 1х240/70 длиной 0,325 км;
1.14.Строительство участка КЛ 10 кВ от ПС 110 кВ О-53 до с/м в сторону РП-ХХII (10-38) кабелем 3хАПвПу2г-10 1х240/70 длиной 0,737 км, в т.ч. прокол ГНБ 0,191 км (1раб + 1рез, d=160);
1.15.Строительство участка КЛ 10 кВ от ПС 110 кВ О-53 до с/м в сторону ТП-140 (10-30) кабелем 3хАПвПу2г-10 1х240/70 длиной 0,303 км;
1.16.Строительство участка КЛ 6 кВ от ПС 110 кВ О-53 до с/м в сторону ТП-588 (6-14) кабелем 3хАПвПу2г-10 1х240/70 длиной 0,234 км;
1.17.Строительство участка КЛ 6 кВ от ПС 110 кВ О-53 до с/м в сторону РП-IX  (6-16) кабелем 3хАПвПу2г-10 1х240/70 длиной 0,326 км;
1.18.Строительство участка КЛ 6 кВ от ПС 110 кВ О-53 до с/м в сторону РП-III   (6-20) кабелем 3хАПвПу2г-10 1х240/70 длиной 0,393 км, в т.ч. прокол ГНБ 0,040 км (1раб + 1рез, d=160);
1.19.Строительство участка КЛ 6 кВ от ПС 110 кВ О-53 до с/м в сторону РП-IV  (6-22) кабелем 3хАПвПу2г-10 1х240/70 длиной 0,356 км;
1.20.Строительство участка КЛ 6 кВ от ПС 110 кВ О-53 до с/м в сторону РП-IV  (6-01) кабелем 3хАПвПу2г-10 1х240/70 длиной 0,352 км;
1.21.Строительство участка КЛ 6 кВ от ПС 110 кВ О-53 до с/м в сторону РП-III   (6-11) кабелем 3хАПвПу2г-10 1х240/70 длиной 0,390 км;
1.22.Строительство участка КЛ 6 кВ от ПС 110 кВ О-53 до с/м в сторону РП-IX  (6-15) кабелем 3хАПвПу2г-10 1х240/70 длиной 0,324 км;
1.23.Строительство участка КЛ 6 кВ от ПС 110 кВ О-53 до с/м в сторону РП-IV  (6-19) кабелем 3хАПвПу2г-10 1х240/70 длиной 0,350 км, в т.ч. прокол ГНБ 0,0298 км (1раб + 1рез, d=160); 
1.24.Строительство 2-х участков КЛ 10 кВ от РП-ХХ до с/м в сторону ТП-374 кабелем 3хАПвПу2г-10 1х70/50 и в сторону ТП-301 3хАПвПу2г-10 1х120/50 длиной 0,329 и 0,349 км соответственно, в т.ч. прокол ГНБ 0,034 км (2раб + 2 рез, d=160); 
1.25.Строительство участка КЛ 10 кВ от с/м в сторону ПС 110 кВ О-17 Рыбный порт до с/м в сторону РП-ХХII (17-13) кабелем 3хАПвПу2г-10 1х240/50 длиной 0,396 км, в т.ч. прокол ГНБ 0,061 км (1раб + 1рез, d=160); 
1.26.Прокол ГНБ 0,101 км (3раб + 1рез, d=160) на 3-х проектируемых участках КЛ 10 кВ РП-XX – ТП-374, РП-XX – ТП-301 и ПС 110 кВ О-17 - РП-ХХII. 
1.27.Прокол ГНБ 0,0395 км (2раб + 2рез, d=160) на 2-х проектируемых участках КЛ 6 кВ ПС 110 кВ О-53 - РП-III (6-11) и КЛ 10 кВ ПС 110 кВ О-53 – ТП-687 (10-02).
1.28.Прокол ГНБ 0,0274 км (2раб + 2рез, d=160) на 2-х проектируемых участках КЛ 6 кВ ПС 110 кВ О-53 - РП-IV (6-01 и 6-22).
1.29.Прокол ГНБ 0,0564 км (3раб + 1рез, d=160) на 3-х проектируемых участках КЛ 6 кВ ПС 110 кВ О-53 - РП-III (6-11), ПС 110 кВ О-53 - РП-IV (6-19) и КЛ 10 кВ ПС 110 кВ О-53 - ТП-687 (10-02).
1.30.Прокол ГНБ 0,0564 км (3раб + 1рез, d=160) на 3-х проектируемых участках КЛ 6 кВ ПС 110 кВ О-53 - РП-III (6-20), ПС 110 кВ О-53 - РП-IV (6-11) и ПС 110 кВ О-53 - РП-IV (6-22).
1.31.Прокол ГНБ 0,0578 км (3раб (1 – d=160, 2 – d=200) + 1рез, d=200) на 3-х проектируемых участках КЛ 10 кВ ПС 110 кВ О-53 - РП-XII (10-14), ПС 110 кВ О-53 – ТП-687 (10-02) и ПС 110 кВ О-53 - РП-XII (10-42).
1.32.Прокол ГНБ 0,0577 км (2раб + 2рез, d=160) на 2-х проектируемых участках КЛ 6 кВ ПС 110 кВ О-53 - РП-IX (6-16) и КЛ 10 кВ ПС 110 кВ О-53 - ТП-140 (10-30).
1.33.Прокол ГНБ 0,0602 км (3раб + 1рез, d=160) на 3-х проектируемых участках КЛ 6 кВ ПС 110 кВ О-53 - РП-IX (6-15), КЛ 10 кВ ПС 110 кВ О-53 - РП-I (10-12) и ПС 110 кВ О-53 - РП-IX (10-28). 
1.34.Прокол ГНБ 0,0608 км (3раб (2 – d=160, 1 – d=200) + 1рез, d=200) на 3-х проектируемых участках КЛ 10 кВ ПС 110 кВ О-53 - РП-XV (10-34), ПС 110 кВ О-53 – РП- I (10-10) и ПС 110 кВ О-53 - РП-X (10-06).
1.35.Прокол ГНБ 0,0627 км (3раб + 1рез, d=160) на 3-х проектируемых участках КЛ 6 кВ ПС 110 кВ О-53 - РП-XII (6-11), ПС 110 кВ О-53 – РП-IV (6-19) и КЛ 10 кВ ПС 110 кВ О-53 – ТП-687 (10-02).
1.36.Прокол ГНБ 0,0627 км (3раб + 1рез, d=160) на 3-х проектируемых участках КЛ 6 кВ ПС 110 кВ О-53 - РП-III (6-20), ПС 110 кВ О-53 – РП-IV (6-01) и ПС 110 кВ О-53 – РП-IV (6-22).
1.37. Прокол ГНБ 0,023 км (3раб (1 – d=160, 2 – d=200) + 1рез, d=200) на 3-х проектируемых участках КЛ 10 кВ ПС 110 кВ О-53 - РП-XII (10-14), ПС 110 кВ О-53 – РП-XV (10-04) и ПС 110 кВ О-53 - РП-XII (10-42).
1.38.Прокол ГНБ 0,024 км (2раб + 2рез, d=160) на 2-х проектируемых участках КЛ 6 кВ ПС 110 кВ О-53 - РП-IX (6-16) и КЛ 10 кВ ПС 110 кВ О-53 - ТП-140 (10-30).
1.39.Прокол ГНБ 0,0245 км (3раб + 1рез, d=160) на 3-х проектируемых участках КЛ 6 кВ ПС 110 кВ О-53 - РП-IX (6-15), КЛ 10 кВ ПС 110 кВ – РП-I (10-12) и ПС 110 кВ О-53 – РП-X (10-28).
1.40.Прокол ГНБ 0,0253 км (3раб (1 – d=160, 2 – d=200) + 1рез, d=200) на 3-х проектируемых участках КЛ 10 кВ ПС 110 кВ О-53 - РП-X (10-06), КЛ 10 кВ ПС 110 кВ О-53 – РП-I (10-10) и ПС 110 кВ О-53 – РП-XV (10-34).
1.41.Прокол ГНБ 0,0933 км (2раб + 2рез, d=200) на 2-х проектируемых участках КЛ 10 кВ ПС 110 кВ О-53 - РП-XII (10-14) и КЛ 10 кВ ПС 110 кВ О-53 - РП-XII (10-42).
1.42.Прокол ГНБ 0,0938 км (1раб + 1рез, d=160; 1раб + 1рез, d=200) на 2-х проектируемых участках КЛ 6 кВ ПС 110 кВ О-53 - РП-IX (6-16) и КЛ 10 кВ ПС 110 кВ О-53 - ТП-140 (10-30).
1.43.Прокол ГНБ 0,0958 км (2раб + 2рез, d=160) на 2-х проектируемых участках КЛ 6 кВ ПС 110 кВ О-53 - РП-IX (6-15) и КЛ 10 кВ ПС 110 кВ О-53 - РП-I (10-12).
1.44.Прокол ГНБ 0,0942 км (2раб + 2рез, d=160) на 2-х проектируемых участках КЛ 10 кВ ПС 110 кВ О-53 - РП-X (10-06) и КЛ 10 кВ ПС 110 кВ О-53 - РП-X (10-28).
1.45.Прокол ГНБ 0,0927 км (1раб + 1рез, d=160; 1раб + 1рез, d=200) на 2-х проектируемых участках КЛ 10 кВ ПС 110 кВ О-53 - РП-I (10-10) и КЛ 10 кВ ПС 110 кВ О-53 - РП-XV (10-34).
1.46.Вывод в разряд недействующих участков существующих КЛ 10 кВ: ПС 110 кВ О-17 – РП-ХХII кабель 3xXRUHAKXS-10 1х240/50, РП-ХХ – ТП-301 кабель СБ-6 3х95, РП-ХХ – ТП-374 кабель СБ-6 3х50, ПС 110 кВ О-53 – ТП-687 кабель 3хXRUHAKXS-10 1x240/50, ПС 110 кВ О-53 – РП-ХХII кабель ААБ-10 (АСБ-6) 3х185, ПС 110 кВ О-53 – РП-X кабель 3хXRUHAKXS-10 1x240/70, ПС 110 кВ О-53 – ТП-972 кабель 3хXRUHAKXS-20 1x240/70, ПС 110 кВ О-53 – РП-XII кабель 3хXRUHAKXS-10 1x500/70, ПС 110 кВ О-53 – ТП-303 кабель ААБ-10 (АСБ-6) 3х240, ПС 110 кВ О-53 – РП-XII кабель 3хXRUHAKXS-10 1x500/50, ПС 110 кВ О-53 – РП-XV кабель 3хXRUHAKXS-10 1x500/70, ПС 110 кВ О-53 – РП-I кабель АСБ-10 3х240, ПС 110 кВ О-53 – РП-I кабель АСБ-10 3х240, ПС 110 кВ О-53 – РП-XV кабель АСБ-10 3х240, ПС 110 кВ О-53 – ТП-971 кабель 3xXRUHAKXS-10 1х240/50, ПС 110 кВ О-53 – РП-X кабель АСБ-10 3х240, ПС 110 кВ О-53 – РП-XXII кабель АСБ-10 (ААБ-6) 3х185 и 3х240, ПС 110 кВ О-53 – ТП-140 кабель АСБ-10 3х150.
1.47.Вывод в разряд недействующих участков существующих КЛ 6 кВ: ПС 110 кВ О-53 – ТП-588 кабель АСБ-6 3х240, ПС 110 кВ О-53 – РП-IX кабель АСБ-10 3х240, ПС 110 кВ О-53 – РП-III кабель АСБ-10 3х240, ПС 110 кВ О-53 – РП-IV кабель АСБ-6 3х240, ПС 110 кВ О-53 - РП-IV кабель АСБ-10 3х240, ПС 110 кВ О-53 – РП-III кабель АСБ-10 3х240, ПС 110 кВ О-53 – РП-IX кабель АСБ-10 3х150, ПС 110 кВ О-53 - РП-IV кабель АСБ-10 3х120.</t>
  </si>
  <si>
    <t>Удельные стоимостные показатели реализации инвестиционного проекта</t>
  </si>
  <si>
    <t>КЛ 6-10 кВ - 18,48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</si>
  <si>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</si>
  <si>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</si>
  <si>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</si>
  <si>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 xml:space="preserve">Соглашение о компенсации от 11.08.2022 № 74/115/22, ДС № 1 от 05.12.2023 между ООО "РЖД" и АО "Россети Янтарь" (мероприятия по выносу (переустройству) объектов АО "Россети Янтарь").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</si>
  <si>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</si>
  <si>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</si>
  <si>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</si>
  <si>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</si>
  <si>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</si>
  <si>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</si>
  <si>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</si>
  <si>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</si>
  <si>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</si>
  <si>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</si>
  <si>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</si>
  <si>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</si>
  <si>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</si>
  <si>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</si>
  <si>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</si>
  <si>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</si>
  <si>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</si>
  <si>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</si>
  <si>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</si>
  <si>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</si>
  <si>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</si>
  <si>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</si>
  <si>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</si>
  <si>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</si>
  <si>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</si>
  <si>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</si>
  <si>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</si>
  <si>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</si>
  <si>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</si>
  <si>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</si>
  <si>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</si>
  <si>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</si>
  <si>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</si>
  <si>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</si>
  <si>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</si>
  <si>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</si>
  <si>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</si>
  <si>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</si>
  <si>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</si>
  <si>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</si>
  <si>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</si>
  <si>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</si>
  <si>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</si>
  <si>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</si>
  <si>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</si>
  <si>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</si>
  <si>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</si>
  <si>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</si>
  <si>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</si>
  <si>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</si>
  <si>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</si>
  <si>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</si>
  <si>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</si>
  <si>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</si>
  <si>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</si>
  <si>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</si>
  <si>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</si>
  <si>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</si>
  <si>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</si>
  <si>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</si>
  <si>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</si>
  <si>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</si>
  <si>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</si>
  <si>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</si>
  <si>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</si>
  <si>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</si>
  <si>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</si>
  <si>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</si>
  <si>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</si>
  <si>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</si>
  <si>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</si>
  <si>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</si>
  <si>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</si>
  <si>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</si>
  <si>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</si>
  <si>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</si>
  <si>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</si>
  <si>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</si>
  <si>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</si>
  <si>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</si>
  <si>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</si>
  <si>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</si>
  <si>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</si>
  <si>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</si>
  <si>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</si>
  <si>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</si>
  <si>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</si>
  <si>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</si>
  <si>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</si>
  <si>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</si>
  <si>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</si>
  <si>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</si>
  <si>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</si>
  <si>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</si>
  <si>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</si>
  <si>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</si>
  <si>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</si>
  <si>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</si>
  <si>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</si>
  <si>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</si>
  <si>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</si>
  <si>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</si>
  <si>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</si>
  <si>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</si>
  <si>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</si>
  <si>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</si>
  <si>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</si>
  <si>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</si>
  <si>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</si>
  <si>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</si>
  <si>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</si>
  <si>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</si>
  <si>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</si>
  <si>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</si>
  <si>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</si>
  <si>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</si>
  <si>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</si>
  <si>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</si>
  <si>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</si>
  <si>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</si>
  <si>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</si>
  <si>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</si>
  <si>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</si>
  <si>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</si>
  <si>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</si>
  <si>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</si>
  <si>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</si>
  <si>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</si>
  <si>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</si>
  <si>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</si>
  <si>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</si>
  <si>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</si>
  <si>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</si>
  <si>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</si>
  <si>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</si>
  <si>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</si>
  <si>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</si>
  <si>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</si>
  <si>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</si>
  <si>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</si>
  <si>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</si>
  <si>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</si>
  <si>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</si>
  <si>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</si>
  <si>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</si>
  <si>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</si>
  <si>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</si>
  <si>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</si>
  <si>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</si>
  <si>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</si>
  <si>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</si>
  <si>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</si>
  <si>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</si>
  <si>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</si>
  <si>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</si>
  <si>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</si>
  <si>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</si>
  <si>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</si>
  <si>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</si>
  <si>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</si>
  <si>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</si>
  <si>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</si>
  <si>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</si>
  <si>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</si>
  <si>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</si>
  <si>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</si>
  <si>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</si>
  <si>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</si>
  <si>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</si>
  <si>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</si>
  <si>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</si>
  <si>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</si>
  <si>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</si>
  <si>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</si>
  <si>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</si>
  <si>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</si>
  <si>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</si>
  <si>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</si>
  <si>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</si>
  <si>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</si>
  <si>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</si>
  <si>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</si>
  <si>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</si>
  <si>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</si>
  <si>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</si>
  <si>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</si>
  <si>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</si>
  <si>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</si>
  <si>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</si>
  <si>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</si>
  <si>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</si>
  <si>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</si>
  <si>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</si>
  <si>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</si>
  <si>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</si>
  <si>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</si>
  <si>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</si>
  <si>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</si>
  <si>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</si>
  <si>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</si>
  <si>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</si>
  <si>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</si>
  <si>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</si>
  <si>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</si>
  <si>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</si>
  <si>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</si>
  <si>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</si>
  <si>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</si>
  <si>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</si>
  <si>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</si>
  <si>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</si>
  <si>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</si>
  <si>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</si>
  <si>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</si>
  <si>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</si>
  <si>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</si>
  <si>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</si>
  <si>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</si>
  <si>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</si>
  <si>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</si>
  <si>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</si>
  <si>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</si>
  <si>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</si>
  <si>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</si>
  <si>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</si>
  <si>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</si>
  <si>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</si>
  <si>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</si>
  <si>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</si>
  <si>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</si>
  <si>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</si>
  <si>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</si>
  <si>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</si>
  <si>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</si>
  <si>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</si>
  <si>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</si>
  <si>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</si>
  <si>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</si>
  <si>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</si>
  <si>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</si>
  <si>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</si>
  <si>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</si>
  <si>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</si>
  <si>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</si>
  <si>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</si>
  <si>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</si>
  <si>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</si>
  <si>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</si>
  <si>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</si>
  <si>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</si>
  <si>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</si>
  <si>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</si>
  <si>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</si>
  <si>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</si>
  <si>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</si>
  <si>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</si>
  <si>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</si>
  <si>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</si>
  <si>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</si>
  <si>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</si>
  <si>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</si>
  <si>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</si>
  <si>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</si>
  <si>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</si>
  <si>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</si>
  <si>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</si>
  <si>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</si>
  <si>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</si>
  <si>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</si>
  <si>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</si>
  <si>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</si>
  <si>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</si>
  <si>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</si>
  <si>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</si>
  <si>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</si>
  <si>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</si>
  <si>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</si>
  <si>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</si>
  <si>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</si>
  <si>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</si>
  <si>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</si>
  <si>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</si>
  <si>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</si>
  <si>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</si>
  <si>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</si>
  <si>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</si>
  <si>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</si>
  <si>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</si>
  <si>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</si>
  <si>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</si>
  <si>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</si>
  <si>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</si>
  <si>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</si>
  <si>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</si>
  <si>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</si>
  <si>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</si>
  <si>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</si>
  <si>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</si>
  <si>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</si>
  <si>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</si>
  <si>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</si>
  <si>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</si>
  <si>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</si>
  <si>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</si>
  <si>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</si>
  <si>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</si>
  <si>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</si>
  <si>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</si>
  <si>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</si>
  <si>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</si>
  <si>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</si>
  <si>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</si>
  <si>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</si>
  <si>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</si>
  <si>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</si>
  <si>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</si>
  <si>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</si>
  <si>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</si>
  <si>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</si>
  <si>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</si>
  <si>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</si>
  <si>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</si>
  <si>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</si>
  <si>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</si>
  <si>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</si>
  <si>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</si>
  <si>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</si>
  <si>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</si>
  <si>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</si>
  <si>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</si>
  <si>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</si>
  <si>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</si>
  <si>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</si>
  <si>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</si>
  <si>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</si>
  <si>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</si>
  <si>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</si>
  <si>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</si>
  <si>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</si>
  <si>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</si>
  <si>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</si>
  <si>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</si>
  <si>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</si>
  <si>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</si>
  <si>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</si>
  <si>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</si>
  <si>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</si>
  <si>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</si>
  <si>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</si>
  <si>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</si>
  <si>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</si>
  <si>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</si>
  <si>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</si>
  <si>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</si>
  <si>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</si>
  <si>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</si>
  <si>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</si>
  <si>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</si>
  <si>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</si>
  <si>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</si>
  <si>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</si>
  <si>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</si>
  <si>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</si>
  <si>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</si>
  <si>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</si>
  <si>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</si>
  <si>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</si>
  <si>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</si>
  <si>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</si>
  <si>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</si>
  <si>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</si>
  <si>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</si>
  <si>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</si>
  <si>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</si>
  <si>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</si>
  <si>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</si>
  <si>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</si>
  <si>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</si>
  <si>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</si>
  <si>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</si>
  <si>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</si>
  <si>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</si>
  <si>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</si>
  <si>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</si>
  <si>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</si>
  <si>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</si>
  <si>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</si>
  <si>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</si>
  <si>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</si>
  <si>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</si>
  <si>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</si>
  <si>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</si>
  <si>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</si>
  <si>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</si>
  <si>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</si>
  <si>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</si>
  <si>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</si>
  <si>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</si>
  <si>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</si>
  <si>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СМР</t>
  </si>
  <si>
    <t>Выполнение СМР по объекту "Вынос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t>
  </si>
  <si>
    <t>НМЦ</t>
  </si>
  <si>
    <t>ВЗ</t>
  </si>
  <si>
    <t>СЦ</t>
  </si>
  <si>
    <t>АО "Энергосервис Северо-Запада"</t>
  </si>
  <si>
    <t>ООО "Электромонтаж-СПб"</t>
  </si>
  <si>
    <t>ООО "Гефест"</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</si>
  <si>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</si>
  <si>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</si>
  <si>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</si>
  <si>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</si>
  <si>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</si>
  <si>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</si>
  <si>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</si>
  <si>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</si>
  <si>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</si>
  <si>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</si>
  <si>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</si>
  <si>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ПСД, утв. приказом № 212 от 12.12.2024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</si>
  <si>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</si>
  <si>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</si>
  <si>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</si>
  <si>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</si>
  <si>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АО "Энергосервис Северо-Запада" договор № 3919 от 14.03.2024 (ДС № 1 от 12.12.2024)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</si>
  <si>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</si>
  <si>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</si>
  <si>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</si>
  <si>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</si>
  <si>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</si>
  <si>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</si>
  <si>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ОАО "РЖД" договор 74/115/22 от 11.08.2022  в ценах 2022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</si>
  <si>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</si>
  <si>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</si>
  <si>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</si>
  <si>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</si>
  <si>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</si>
  <si>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2024 года, млн рублей</t>
  </si>
  <si>
    <t>Списание запасов на затраты производства (материалы сч.10) в ценах 2024 года с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</si>
  <si>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</si>
  <si>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</si>
  <si>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</si>
  <si>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</si>
  <si>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</si>
  <si>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</si>
  <si>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</si>
  <si>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</si>
  <si>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ОАО "РЖД" договор 74/115/22 от 11.08.2022</t>
  </si>
  <si>
    <t>- технические агенты</t>
  </si>
  <si>
    <t>- подрядчики</t>
  </si>
  <si>
    <t xml:space="preserve">СМР АО "Энергосервис Северо-Запада" договор № 3919 от 14.03.2024 (ДС № 1 от 12.12.2024)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</si>
  <si>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</si>
  <si>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</si>
  <si>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</si>
  <si>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</si>
  <si>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</si>
  <si>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</si>
  <si>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</si>
  <si>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</si>
  <si>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</si>
  <si>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</si>
  <si>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</si>
  <si>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</si>
  <si>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</si>
  <si>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</si>
  <si>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</si>
  <si>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</si>
  <si>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</si>
  <si>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</si>
  <si>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Увеличение дохода от передачи ээ, руб. в цена тек. года</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</si>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</sst>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00000_ ;\-#,##0.00000000\ "/>
  </numFmts>
  <fonts count="85"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color theme="1"/>
      <name val="Times New Roman"/>
    </font>
    <font>
      <sz val="14"/>
      <color theme="1"/>
      <name val="Times New Roman"/>
    </font>
    <font>
      <sz val="9"/>
      <color theme="1"/>
      <name val="Times New Roman"/>
    </font>
    <font>
      <b/>
      <sz val="12"/>
      <color theme="1"/>
      <name val="Times New Roman"/>
    </font>
    <font>
      <b/>
      <sz val="11"/>
      <color theme="1"/>
      <name val="Times New Roman"/>
    </font>
    <font>
      <sz val="11"/>
      <color theme="1"/>
      <name val="Times New Roman"/>
    </font>
    <font>
      <b/>
      <sz val="11"/>
      <color theme="1"/>
      <name val="Calibri"/>
      <scheme val="minor"/>
    </font>
    <font>
      <sz val="10"/>
      <name val="Times New Roman"/>
    </font>
    <font>
      <sz val="10"/>
      <color indexed="65"/>
      <name val="Times New Roman"/>
    </font>
    <font>
      <b/>
      <sz val="14"/>
      <name val="Times New Roman"/>
    </font>
    <font>
      <sz val="8"/>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1"/>
      <color indexed="64"/>
      <name val="Times New Roman"/>
    </font>
    <font>
      <sz val="11"/>
      <color indexed="64"/>
      <name val="Arial Cyr"/>
    </font>
    <font>
      <sz val="10"/>
      <color indexed="64"/>
      <name val="Arial Cyr"/>
    </font>
    <font>
      <sz val="12"/>
      <color indexed="64"/>
      <name val="Times New Roman"/>
    </font>
    <font>
      <b/>
      <sz val="12"/>
      <color indexed="64"/>
      <name val="Times New Roman"/>
    </font>
    <font>
      <b/>
      <sz val="8"/>
      <color theme="1"/>
      <name val="Times New Roman"/>
    </font>
    <font>
      <b/>
      <u/>
      <sz val="11"/>
      <color theme="1"/>
      <name val="Times New Roman"/>
    </font>
    <font>
      <u/>
      <sz val="12"/>
      <name val="Times New Roman"/>
    </font>
    <font>
      <sz val="11"/>
      <color indexed="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color indexed="64"/>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77" fillId="0" borderId="0"/>
    <xf numFmtId="0" fontId="77" fillId="0" borderId="0"/>
    <xf numFmtId="0" fontId="77" fillId="0" borderId="0"/>
    <xf numFmtId="0" fontId="77" fillId="0" borderId="0"/>
    <xf numFmtId="0" fontId="77" fillId="0" borderId="0"/>
    <xf numFmtId="0" fontId="77"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77" fillId="0" borderId="0" applyFont="0" applyFill="0" applyBorder="0" applyProtection="0"/>
    <xf numFmtId="164" fontId="77" fillId="0" borderId="0" applyFont="0" applyFill="0" applyBorder="0" applyProtection="0"/>
    <xf numFmtId="165" fontId="3" fillId="0" borderId="0" applyFont="0" applyFill="0" applyBorder="0" applyProtection="0"/>
    <xf numFmtId="166" fontId="77" fillId="0" borderId="0" applyFont="0" applyFill="0" applyBorder="0" applyProtection="0"/>
    <xf numFmtId="0" fontId="22" fillId="4" borderId="0" applyNumberFormat="0" applyBorder="0" applyProtection="0"/>
  </cellStyleXfs>
  <cellXfs count="427">
    <xf numFmtId="0" fontId="0" fillId="0" borderId="0" xfId="0"/>
    <xf numFmtId="0" fontId="77" fillId="0" borderId="0" xfId="52"/>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31" fillId="0" borderId="0" xfId="52" applyFont="1" applyAlignment="1">
      <alignment horizontal="center" vertical="center"/>
    </xf>
    <xf numFmtId="0" fontId="31" fillId="0" borderId="0" xfId="52" applyFont="1" applyAlignment="1">
      <alignment vertical="center"/>
    </xf>
    <xf numFmtId="0" fontId="33" fillId="0" borderId="0" xfId="52" applyFont="1" applyAlignment="1">
      <alignment horizontal="center" vertical="center"/>
    </xf>
    <xf numFmtId="0" fontId="34" fillId="0" borderId="0" xfId="52" applyFont="1"/>
    <xf numFmtId="0" fontId="32" fillId="0" borderId="0" xfId="52" applyFont="1" applyAlignment="1">
      <alignment vertical="center"/>
    </xf>
    <xf numFmtId="0" fontId="31" fillId="0" borderId="10" xfId="52" applyFont="1" applyBorder="1" applyAlignment="1">
      <alignment vertical="center" wrapText="1"/>
    </xf>
    <xf numFmtId="0" fontId="31" fillId="0" borderId="11" xfId="52" applyFont="1" applyBorder="1" applyAlignment="1">
      <alignment horizontal="center" vertical="center" wrapText="1"/>
    </xf>
    <xf numFmtId="0" fontId="31" fillId="0" borderId="10" xfId="52" applyFont="1" applyBorder="1" applyAlignment="1">
      <alignment horizontal="center" vertical="center" wrapText="1"/>
    </xf>
    <xf numFmtId="49" fontId="31" fillId="0" borderId="10" xfId="52" applyNumberFormat="1" applyFont="1" applyBorder="1" applyAlignment="1">
      <alignment vertical="center"/>
    </xf>
    <xf numFmtId="0" fontId="31" fillId="0" borderId="11" xfId="52" applyFont="1" applyBorder="1" applyAlignment="1">
      <alignment horizontal="left" vertical="center" wrapText="1"/>
    </xf>
    <xf numFmtId="0" fontId="31" fillId="0" borderId="10" xfId="52" applyFont="1" applyBorder="1" applyAlignment="1">
      <alignment horizontal="left" vertical="center" wrapText="1"/>
    </xf>
    <xf numFmtId="0" fontId="31" fillId="0" borderId="11" xfId="52" applyFont="1" applyBorder="1" applyAlignment="1">
      <alignment vertical="center" wrapText="1"/>
    </xf>
    <xf numFmtId="0" fontId="31" fillId="0" borderId="0" xfId="0" applyFont="1" applyAlignment="1">
      <alignment horizontal="left" vertical="center"/>
    </xf>
    <xf numFmtId="0" fontId="35" fillId="0" borderId="10" xfId="52" applyFont="1" applyBorder="1" applyAlignment="1">
      <alignment horizontal="center" vertical="center" wrapText="1"/>
    </xf>
    <xf numFmtId="0" fontId="36" fillId="0" borderId="10" xfId="41" applyFont="1" applyBorder="1" applyAlignment="1">
      <alignment horizontal="center" vertical="center" wrapText="1"/>
    </xf>
    <xf numFmtId="0" fontId="35" fillId="0" borderId="11" xfId="52" applyFont="1" applyBorder="1" applyAlignment="1">
      <alignment horizontal="center" vertical="center" wrapText="1"/>
    </xf>
    <xf numFmtId="0" fontId="14" fillId="0" borderId="10" xfId="0" applyFont="1" applyBorder="1" applyAlignment="1">
      <alignment horizontal="center" vertical="center" wrapText="1"/>
    </xf>
    <xf numFmtId="168" fontId="14" fillId="0" borderId="10" xfId="0" applyNumberFormat="1" applyFont="1" applyBorder="1" applyAlignment="1">
      <alignment horizontal="center" vertical="center" wrapText="1"/>
    </xf>
    <xf numFmtId="1" fontId="14" fillId="0" borderId="10" xfId="0" applyNumberFormat="1" applyFont="1" applyBorder="1" applyAlignment="1">
      <alignment horizontal="center" vertical="center" wrapText="1"/>
    </xf>
    <xf numFmtId="0" fontId="37" fillId="0" borderId="10" xfId="52" applyFont="1" applyBorder="1" applyAlignment="1">
      <alignment horizontal="center" vertical="center" wrapText="1"/>
    </xf>
    <xf numFmtId="168" fontId="31" fillId="0" borderId="10" xfId="52" applyNumberFormat="1" applyFont="1" applyBorder="1" applyAlignment="1">
      <alignment horizontal="center" vertical="center" wrapText="1"/>
    </xf>
    <xf numFmtId="0" fontId="38" fillId="0" borderId="10" xfId="52" applyFont="1" applyBorder="1" applyAlignment="1">
      <alignment horizontal="center" vertical="center"/>
    </xf>
    <xf numFmtId="168" fontId="35" fillId="0" borderId="10" xfId="52" applyNumberFormat="1" applyFont="1" applyBorder="1" applyAlignment="1">
      <alignment horizontal="center" vertical="center"/>
    </xf>
    <xf numFmtId="0" fontId="38" fillId="0" borderId="11" xfId="52" applyFont="1" applyBorder="1" applyAlignment="1">
      <alignment horizontal="center" vertical="center"/>
    </xf>
    <xf numFmtId="0" fontId="77" fillId="0" borderId="10" xfId="52"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0" xfId="39" applyFont="1" applyAlignment="1">
      <alignment horizontal="center" vertical="center"/>
    </xf>
    <xf numFmtId="0" fontId="14" fillId="0" borderId="10" xfId="39" applyFont="1" applyBorder="1" applyAlignment="1">
      <alignment horizontal="center" vertical="center" wrapText="1"/>
    </xf>
    <xf numFmtId="49" fontId="14" fillId="0" borderId="10" xfId="39" applyNumberFormat="1" applyFont="1" applyBorder="1" applyAlignment="1">
      <alignment horizontal="center" vertical="center"/>
    </xf>
    <xf numFmtId="49" fontId="14" fillId="0" borderId="10" xfId="39" applyNumberFormat="1" applyFont="1" applyBorder="1" applyAlignment="1">
      <alignment horizontal="center" vertical="center" wrapText="1"/>
    </xf>
    <xf numFmtId="0" fontId="39" fillId="0" borderId="0" xfId="39" applyFont="1" applyAlignment="1">
      <alignment horizontal="left"/>
    </xf>
    <xf numFmtId="0" fontId="40"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41" fillId="0" borderId="0" xfId="52" applyFont="1" applyAlignment="1">
      <alignment horizontal="center" vertical="center"/>
    </xf>
    <xf numFmtId="0" fontId="25" fillId="0" borderId="0" xfId="52" applyFont="1" applyAlignment="1">
      <alignment horizontal="center" vertical="center"/>
    </xf>
    <xf numFmtId="0" fontId="27" fillId="0" borderId="10" xfId="39" applyFont="1" applyBorder="1" applyAlignment="1">
      <alignment horizontal="center" vertical="top"/>
    </xf>
    <xf numFmtId="0" fontId="14" fillId="0" borderId="10" xfId="39" applyFont="1" applyBorder="1" applyAlignment="1">
      <alignment horizontal="center" vertical="center"/>
    </xf>
    <xf numFmtId="0" fontId="14" fillId="0" borderId="10" xfId="40" applyFont="1" applyBorder="1" applyAlignment="1" applyProtection="1">
      <alignment horizontal="center" vertical="center" wrapText="1"/>
    </xf>
    <xf numFmtId="0" fontId="14" fillId="0" borderId="10" xfId="39" applyFont="1" applyBorder="1" applyAlignment="1">
      <alignment horizontal="left" vertical="center"/>
    </xf>
    <xf numFmtId="0" fontId="27" fillId="0" borderId="0" xfId="0" applyFont="1" applyAlignment="1">
      <alignment vertical="center"/>
    </xf>
    <xf numFmtId="0" fontId="14" fillId="0" borderId="11" xfId="41" applyFont="1" applyBorder="1" applyAlignment="1">
      <alignment vertical="center" wrapText="1"/>
    </xf>
    <xf numFmtId="0" fontId="42" fillId="0" borderId="10" xfId="52" applyFont="1" applyBorder="1" applyAlignment="1">
      <alignment vertical="center" wrapText="1"/>
    </xf>
    <xf numFmtId="2" fontId="31" fillId="0" borderId="10" xfId="52" applyNumberFormat="1" applyFont="1" applyBorder="1" applyAlignment="1">
      <alignment horizontal="left" vertical="center" wrapText="1"/>
    </xf>
    <xf numFmtId="0" fontId="33" fillId="0" borderId="0" xfId="52" applyFont="1" applyAlignment="1">
      <alignment vertical="center"/>
    </xf>
    <xf numFmtId="0" fontId="37" fillId="0" borderId="0" xfId="51" applyFont="1"/>
    <xf numFmtId="0" fontId="36"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31" fillId="0" borderId="10" xfId="52" applyFont="1" applyBorder="1" applyAlignment="1">
      <alignment vertical="center"/>
    </xf>
    <xf numFmtId="0" fontId="43" fillId="0" borderId="0" xfId="39" applyFont="1"/>
    <xf numFmtId="0" fontId="31" fillId="0" borderId="0" xfId="55" applyFont="1" applyAlignment="1">
      <alignment vertical="center" wrapText="1"/>
    </xf>
    <xf numFmtId="0" fontId="31" fillId="0" borderId="0" xfId="55" applyFont="1" applyAlignment="1">
      <alignment vertical="center"/>
    </xf>
    <xf numFmtId="0" fontId="44" fillId="0" borderId="0" xfId="39" applyFont="1"/>
    <xf numFmtId="0" fontId="45" fillId="0" borderId="0" xfId="52" applyFont="1"/>
    <xf numFmtId="0" fontId="27" fillId="0" borderId="0" xfId="53" applyFont="1" applyAlignment="1">
      <alignment vertical="center"/>
    </xf>
    <xf numFmtId="0" fontId="46" fillId="0" borderId="0" xfId="53"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applyAlignment="1">
      <alignment vertical="center"/>
    </xf>
    <xf numFmtId="0" fontId="50" fillId="0" borderId="0" xfId="52" applyFont="1"/>
    <xf numFmtId="0" fontId="51" fillId="0" borderId="0" xfId="52" applyFont="1" applyAlignment="1">
      <alignment vertical="center"/>
    </xf>
    <xf numFmtId="0" fontId="36" fillId="0" borderId="0" xfId="55" applyFont="1" applyAlignment="1">
      <alignment vertical="center" wrapText="1"/>
    </xf>
    <xf numFmtId="0" fontId="31" fillId="0" borderId="0" xfId="55" applyFont="1" applyAlignment="1">
      <alignment horizontal="right" vertical="center"/>
    </xf>
    <xf numFmtId="0" fontId="36" fillId="0" borderId="0" xfId="55" applyFont="1" applyAlignment="1">
      <alignment vertical="center"/>
    </xf>
    <xf numFmtId="0" fontId="36" fillId="0" borderId="0" xfId="55" applyFont="1" applyAlignment="1">
      <alignment horizontal="center" vertical="center" wrapText="1"/>
    </xf>
    <xf numFmtId="0" fontId="36" fillId="0" borderId="0" xfId="55" applyFont="1" applyAlignment="1">
      <alignment horizontal="center" vertical="center"/>
    </xf>
    <xf numFmtId="0" fontId="52" fillId="0" borderId="0" xfId="55" applyFont="1" applyAlignment="1">
      <alignment horizontal="left" vertical="center"/>
    </xf>
    <xf numFmtId="0" fontId="53" fillId="0" borderId="0" xfId="55" applyFont="1" applyAlignment="1">
      <alignment vertical="center"/>
    </xf>
    <xf numFmtId="0" fontId="31" fillId="0" borderId="22" xfId="55" applyFont="1" applyBorder="1" applyAlignment="1">
      <alignment vertical="center" wrapText="1"/>
    </xf>
    <xf numFmtId="3" fontId="37" fillId="0" borderId="23" xfId="55" applyNumberFormat="1" applyFont="1" applyBorder="1" applyAlignment="1">
      <alignment vertical="center"/>
    </xf>
    <xf numFmtId="0" fontId="31" fillId="0" borderId="24" xfId="55" applyFont="1" applyBorder="1" applyAlignment="1">
      <alignment vertical="center" wrapText="1"/>
    </xf>
    <xf numFmtId="3" fontId="37" fillId="0" borderId="25" xfId="55" applyNumberFormat="1" applyFont="1" applyBorder="1" applyAlignment="1">
      <alignment vertical="center"/>
    </xf>
    <xf numFmtId="0" fontId="31" fillId="0" borderId="26" xfId="55" applyFont="1" applyBorder="1" applyAlignment="1">
      <alignment vertical="center" wrapText="1"/>
    </xf>
    <xf numFmtId="3" fontId="37" fillId="0" borderId="27" xfId="55" applyNumberFormat="1" applyFont="1" applyBorder="1" applyAlignment="1">
      <alignment vertical="center"/>
    </xf>
    <xf numFmtId="0" fontId="54" fillId="0" borderId="28" xfId="55" applyFont="1" applyBorder="1" applyAlignment="1">
      <alignment vertical="center" wrapText="1"/>
    </xf>
    <xf numFmtId="10" fontId="37" fillId="0" borderId="27" xfId="55" applyNumberFormat="1" applyFont="1" applyBorder="1" applyAlignment="1">
      <alignment vertical="center"/>
    </xf>
    <xf numFmtId="0" fontId="31" fillId="0" borderId="28" xfId="55" applyFont="1" applyBorder="1" applyAlignment="1">
      <alignment vertical="center" wrapText="1"/>
    </xf>
    <xf numFmtId="9" fontId="37" fillId="0" borderId="29" xfId="55" applyNumberFormat="1" applyFont="1" applyBorder="1" applyAlignment="1">
      <alignment vertical="center"/>
    </xf>
    <xf numFmtId="0" fontId="31" fillId="0" borderId="30" xfId="55" applyFont="1" applyBorder="1" applyAlignment="1">
      <alignment vertical="center" wrapText="1"/>
    </xf>
    <xf numFmtId="3" fontId="37" fillId="0" borderId="22" xfId="55" applyNumberFormat="1" applyFont="1" applyBorder="1" applyAlignment="1">
      <alignment vertical="center"/>
    </xf>
    <xf numFmtId="0" fontId="31" fillId="0" borderId="31" xfId="55" applyFont="1" applyBorder="1" applyAlignment="1">
      <alignment vertical="center" wrapText="1"/>
    </xf>
    <xf numFmtId="10" fontId="37" fillId="0" borderId="32" xfId="55" applyNumberFormat="1" applyFont="1" applyBorder="1" applyAlignment="1">
      <alignment vertical="center"/>
    </xf>
    <xf numFmtId="10" fontId="37" fillId="0" borderId="24" xfId="55" applyNumberFormat="1" applyFont="1" applyBorder="1" applyAlignment="1">
      <alignment vertical="center"/>
    </xf>
    <xf numFmtId="0" fontId="31" fillId="0" borderId="33" xfId="55" applyFont="1" applyBorder="1" applyAlignment="1">
      <alignment vertical="center" wrapText="1"/>
    </xf>
    <xf numFmtId="169" fontId="37" fillId="0" borderId="28" xfId="55" applyNumberFormat="1" applyFont="1" applyBorder="1" applyAlignment="1">
      <alignment vertical="center"/>
    </xf>
    <xf numFmtId="0" fontId="55" fillId="0" borderId="0" xfId="55" applyFont="1" applyAlignment="1">
      <alignment vertical="center"/>
    </xf>
    <xf numFmtId="0" fontId="31" fillId="0" borderId="34" xfId="55" applyFont="1" applyBorder="1" applyAlignment="1">
      <alignment horizontal="left" vertical="center" wrapText="1"/>
    </xf>
    <xf numFmtId="1" fontId="31" fillId="0" borderId="35" xfId="55" applyNumberFormat="1" applyFont="1" applyBorder="1" applyAlignment="1">
      <alignment horizontal="center" vertical="center"/>
    </xf>
    <xf numFmtId="0" fontId="31" fillId="0" borderId="36" xfId="55" applyFont="1" applyBorder="1" applyAlignment="1">
      <alignment vertical="center" wrapText="1"/>
    </xf>
    <xf numFmtId="10" fontId="37" fillId="0" borderId="10" xfId="55" applyNumberFormat="1" applyFont="1" applyBorder="1" applyAlignment="1">
      <alignment vertical="center"/>
    </xf>
    <xf numFmtId="0" fontId="31" fillId="0" borderId="37" xfId="55" applyFont="1" applyBorder="1" applyAlignment="1">
      <alignment vertical="center" wrapText="1"/>
    </xf>
    <xf numFmtId="3" fontId="37" fillId="0" borderId="38" xfId="55" applyNumberFormat="1" applyFont="1" applyBorder="1" applyAlignment="1">
      <alignment vertical="center"/>
    </xf>
    <xf numFmtId="0" fontId="56"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57" fillId="0" borderId="10" xfId="55" applyNumberFormat="1" applyFont="1" applyBorder="1" applyAlignment="1">
      <alignment vertical="center"/>
    </xf>
    <xf numFmtId="0" fontId="14" fillId="0" borderId="37" xfId="55" applyFont="1" applyBorder="1" applyAlignment="1">
      <alignment vertical="center" wrapText="1"/>
    </xf>
    <xf numFmtId="3" fontId="57" fillId="0" borderId="38" xfId="55" applyNumberFormat="1" applyFont="1" applyBorder="1" applyAlignment="1">
      <alignment vertical="center"/>
    </xf>
    <xf numFmtId="0" fontId="58" fillId="0" borderId="0" xfId="39" applyFont="1"/>
    <xf numFmtId="0" fontId="59" fillId="0" borderId="0" xfId="55" applyFont="1" applyAlignment="1">
      <alignment vertical="center" wrapText="1"/>
    </xf>
    <xf numFmtId="3" fontId="59" fillId="0" borderId="0" xfId="55" applyNumberFormat="1" applyFont="1" applyAlignment="1">
      <alignment horizontal="center" vertical="center"/>
    </xf>
    <xf numFmtId="0" fontId="56" fillId="0" borderId="36" xfId="55" applyFont="1" applyBorder="1" applyAlignment="1">
      <alignment vertical="center" wrapText="1"/>
    </xf>
    <xf numFmtId="3" fontId="56" fillId="0" borderId="10" xfId="55" applyNumberFormat="1" applyFont="1" applyBorder="1" applyAlignment="1">
      <alignment vertical="center"/>
    </xf>
    <xf numFmtId="0" fontId="14" fillId="0" borderId="36" xfId="55" applyFont="1" applyBorder="1" applyAlignment="1">
      <alignment horizontal="left" vertical="center" wrapText="1"/>
    </xf>
    <xf numFmtId="0" fontId="56" fillId="0" borderId="36" xfId="55" applyFont="1" applyBorder="1" applyAlignment="1">
      <alignment horizontal="left" vertical="center" wrapText="1"/>
    </xf>
    <xf numFmtId="0" fontId="14" fillId="0" borderId="0" xfId="55" applyFont="1" applyAlignment="1">
      <alignment vertical="center"/>
    </xf>
    <xf numFmtId="3" fontId="60" fillId="0" borderId="39" xfId="55" applyNumberFormat="1" applyFont="1" applyBorder="1" applyAlignment="1">
      <alignment vertical="center"/>
    </xf>
    <xf numFmtId="3" fontId="60" fillId="0" borderId="0" xfId="55" applyNumberFormat="1" applyFont="1" applyAlignment="1">
      <alignment vertical="center"/>
    </xf>
    <xf numFmtId="0" fontId="56" fillId="0" borderId="37" xfId="55" applyFont="1" applyBorder="1" applyAlignment="1">
      <alignment horizontal="left" vertical="center" wrapText="1"/>
    </xf>
    <xf numFmtId="3" fontId="56" fillId="0" borderId="38" xfId="55" applyNumberFormat="1" applyFont="1" applyBorder="1" applyAlignment="1">
      <alignment vertical="center"/>
    </xf>
    <xf numFmtId="170" fontId="61" fillId="0" borderId="0" xfId="55" applyNumberFormat="1" applyFont="1" applyAlignment="1">
      <alignment horizontal="center" vertical="center"/>
    </xf>
    <xf numFmtId="171" fontId="57" fillId="0" borderId="10" xfId="55" applyNumberFormat="1" applyFont="1" applyBorder="1" applyAlignment="1">
      <alignment horizontal="center" vertical="center"/>
    </xf>
    <xf numFmtId="172" fontId="56" fillId="0" borderId="10" xfId="55" applyNumberFormat="1" applyFont="1" applyBorder="1" applyAlignment="1">
      <alignment vertical="center"/>
    </xf>
    <xf numFmtId="173" fontId="56" fillId="0" borderId="10" xfId="55" applyNumberFormat="1" applyFont="1" applyBorder="1" applyAlignment="1">
      <alignment vertical="center"/>
    </xf>
    <xf numFmtId="0" fontId="56" fillId="0" borderId="37" xfId="55" applyFont="1" applyBorder="1" applyAlignment="1">
      <alignment vertical="center" wrapText="1"/>
    </xf>
    <xf numFmtId="173" fontId="56" fillId="0" borderId="38" xfId="55" applyNumberFormat="1" applyFont="1" applyBorder="1" applyAlignment="1">
      <alignment vertical="center"/>
    </xf>
    <xf numFmtId="1" fontId="31" fillId="0" borderId="0" xfId="55" applyNumberFormat="1" applyFont="1" applyAlignment="1">
      <alignment vertical="center"/>
    </xf>
    <xf numFmtId="0" fontId="62" fillId="0" borderId="0" xfId="53" applyFont="1" applyAlignment="1">
      <alignment wrapText="1"/>
    </xf>
    <xf numFmtId="0" fontId="62" fillId="0" borderId="0" xfId="53" applyFont="1"/>
    <xf numFmtId="0" fontId="63" fillId="0" borderId="0" xfId="53" applyFont="1"/>
    <xf numFmtId="49" fontId="62" fillId="0" borderId="0" xfId="53" applyNumberFormat="1" applyFont="1" applyAlignment="1">
      <alignment vertical="center"/>
    </xf>
    <xf numFmtId="174" fontId="31" fillId="0" borderId="0" xfId="55" applyNumberFormat="1" applyFont="1" applyAlignment="1">
      <alignment vertical="center"/>
    </xf>
    <xf numFmtId="0" fontId="64" fillId="0" borderId="40" xfId="39" applyFont="1" applyBorder="1"/>
    <xf numFmtId="0" fontId="49" fillId="0" borderId="40" xfId="55" applyFont="1" applyBorder="1" applyAlignment="1">
      <alignment vertical="center" wrapText="1"/>
    </xf>
    <xf numFmtId="3" fontId="65" fillId="0" borderId="41" xfId="55" applyNumberFormat="1" applyFont="1" applyBorder="1" applyAlignment="1">
      <alignment vertical="center"/>
    </xf>
    <xf numFmtId="3" fontId="66" fillId="0" borderId="41" xfId="55" applyNumberFormat="1" applyFont="1" applyBorder="1" applyAlignment="1">
      <alignment vertical="center"/>
    </xf>
    <xf numFmtId="3" fontId="65" fillId="0" borderId="42" xfId="55" applyNumberFormat="1" applyFont="1" applyBorder="1" applyAlignment="1">
      <alignment vertical="center"/>
    </xf>
    <xf numFmtId="0" fontId="44" fillId="0" borderId="40" xfId="39" applyFont="1" applyBorder="1"/>
    <xf numFmtId="0" fontId="64" fillId="0" borderId="0" xfId="39" applyFont="1"/>
    <xf numFmtId="3" fontId="46" fillId="0" borderId="0" xfId="55" applyNumberFormat="1" applyFont="1" applyAlignment="1">
      <alignment horizontal="center" vertical="center" wrapText="1"/>
    </xf>
    <xf numFmtId="0" fontId="49" fillId="0" borderId="0" xfId="55" applyFont="1" applyAlignment="1">
      <alignment vertical="center"/>
    </xf>
    <xf numFmtId="0" fontId="49" fillId="0" borderId="0" xfId="55" applyFont="1" applyAlignment="1">
      <alignment vertical="center" wrapText="1"/>
    </xf>
    <xf numFmtId="175" fontId="65" fillId="0" borderId="10" xfId="55" applyNumberFormat="1" applyFont="1" applyBorder="1" applyAlignment="1">
      <alignment vertical="center"/>
    </xf>
    <xf numFmtId="0" fontId="55" fillId="0" borderId="0" xfId="55" applyFont="1" applyAlignment="1">
      <alignment vertical="center" wrapText="1"/>
    </xf>
    <xf numFmtId="0" fontId="67" fillId="24" borderId="10" xfId="39" applyFont="1" applyFill="1" applyBorder="1" applyAlignment="1">
      <alignment horizontal="center" vertical="center" wrapText="1"/>
    </xf>
    <xf numFmtId="0" fontId="15" fillId="0" borderId="0" xfId="39" applyFont="1"/>
    <xf numFmtId="175" fontId="43" fillId="24" borderId="10" xfId="39" applyNumberFormat="1" applyFont="1" applyFill="1" applyBorder="1" applyAlignment="1">
      <alignment horizontal="center" vertical="center" wrapText="1"/>
    </xf>
    <xf numFmtId="9" fontId="43" fillId="24" borderId="10" xfId="39" applyNumberFormat="1" applyFont="1" applyFill="1" applyBorder="1" applyAlignment="1">
      <alignment horizontal="center" vertical="center" wrapText="1"/>
    </xf>
    <xf numFmtId="4" fontId="43" fillId="24" borderId="10" xfId="39" applyNumberFormat="1" applyFont="1" applyFill="1" applyBorder="1" applyAlignment="1">
      <alignment horizontal="center" vertical="center" wrapText="1"/>
    </xf>
    <xf numFmtId="0" fontId="15" fillId="0" borderId="0" xfId="39" applyFont="1" applyAlignment="1">
      <alignment wrapText="1"/>
    </xf>
    <xf numFmtId="0" fontId="15" fillId="0" borderId="10" xfId="39" applyFont="1" applyBorder="1" applyAlignment="1">
      <alignment horizontal="center" vertical="center" wrapText="1"/>
    </xf>
    <xf numFmtId="0" fontId="15" fillId="8" borderId="10" xfId="39" applyFont="1" applyFill="1" applyBorder="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left" vertical="center" wrapText="1"/>
    </xf>
    <xf numFmtId="4" fontId="15" fillId="0" borderId="10" xfId="39" applyNumberFormat="1" applyFont="1" applyBorder="1" applyAlignment="1">
      <alignment horizontal="center" vertical="center"/>
    </xf>
    <xf numFmtId="0" fontId="15" fillId="8" borderId="10" xfId="39" applyFont="1" applyFill="1" applyBorder="1" applyAlignment="1">
      <alignment horizontal="center" vertical="center" wrapText="1"/>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5" fillId="8" borderId="10" xfId="62" applyNumberFormat="1" applyFont="1" applyFill="1" applyBorder="1" applyAlignment="1">
      <alignment horizontal="center" vertical="center"/>
    </xf>
    <xf numFmtId="0" fontId="15" fillId="25" borderId="10" xfId="39" applyFont="1" applyFill="1" applyBorder="1" applyAlignment="1">
      <alignment horizontal="center" vertical="center" wrapText="1"/>
    </xf>
    <xf numFmtId="0" fontId="15" fillId="0" borderId="10" xfId="39" applyFont="1" applyBorder="1" applyAlignment="1">
      <alignment wrapText="1"/>
    </xf>
    <xf numFmtId="0" fontId="15" fillId="0" borderId="10" xfId="39" applyFont="1" applyBorder="1"/>
    <xf numFmtId="0" fontId="15" fillId="0" borderId="10" xfId="39" applyFont="1" applyBorder="1" applyAlignment="1">
      <alignment horizontal="left" wrapText="1"/>
    </xf>
    <xf numFmtId="0" fontId="43" fillId="0" borderId="0" xfId="39" applyFont="1" applyAlignment="1">
      <alignment wrapText="1"/>
    </xf>
    <xf numFmtId="0" fontId="43" fillId="0" borderId="10" xfId="39" applyFont="1" applyBorder="1" applyAlignment="1">
      <alignment wrapText="1"/>
    </xf>
    <xf numFmtId="4" fontId="43" fillId="25" borderId="10" xfId="39" applyNumberFormat="1" applyFont="1" applyFill="1" applyBorder="1" applyAlignment="1">
      <alignment horizontal="center"/>
    </xf>
    <xf numFmtId="0" fontId="53" fillId="26" borderId="0" xfId="55" applyFont="1" applyFill="1" applyAlignment="1">
      <alignment vertical="center"/>
    </xf>
    <xf numFmtId="0" fontId="31" fillId="26" borderId="0" xfId="55" applyFont="1" applyFill="1" applyAlignment="1">
      <alignment vertical="center"/>
    </xf>
    <xf numFmtId="3" fontId="43" fillId="25" borderId="10" xfId="39" applyNumberFormat="1" applyFont="1" applyFill="1" applyBorder="1" applyAlignment="1">
      <alignment horizontal="center"/>
    </xf>
    <xf numFmtId="0" fontId="43" fillId="0" borderId="0" xfId="39" applyFont="1" applyAlignment="1">
      <alignment horizontal="center"/>
    </xf>
    <xf numFmtId="0" fontId="43" fillId="0" borderId="12" xfId="39" applyFont="1" applyBorder="1" applyAlignment="1">
      <alignment wrapText="1"/>
    </xf>
    <xf numFmtId="3" fontId="43" fillId="0" borderId="12" xfId="39" applyNumberFormat="1" applyFont="1" applyBorder="1"/>
    <xf numFmtId="4" fontId="43" fillId="0" borderId="10" xfId="39" applyNumberFormat="1" applyFont="1" applyBorder="1" applyAlignment="1">
      <alignment horizontal="center"/>
    </xf>
    <xf numFmtId="4" fontId="43" fillId="8" borderId="10" xfId="39" applyNumberFormat="1" applyFont="1" applyFill="1" applyBorder="1" applyAlignment="1">
      <alignment horizontal="center"/>
    </xf>
    <xf numFmtId="4" fontId="43" fillId="0" borderId="0" xfId="39" applyNumberFormat="1" applyFont="1" applyAlignment="1">
      <alignment horizontal="center"/>
    </xf>
    <xf numFmtId="10" fontId="43" fillId="8" borderId="10" xfId="39" applyNumberFormat="1" applyFont="1" applyFill="1" applyBorder="1" applyAlignment="1">
      <alignment horizontal="center"/>
    </xf>
    <xf numFmtId="0" fontId="31" fillId="0" borderId="12" xfId="55" applyFont="1" applyBorder="1" applyAlignment="1">
      <alignment vertical="center" wrapText="1"/>
    </xf>
    <xf numFmtId="3" fontId="37" fillId="0" borderId="12" xfId="55" applyNumberFormat="1" applyFont="1" applyBorder="1" applyAlignment="1">
      <alignment horizontal="center" vertical="center"/>
    </xf>
    <xf numFmtId="3" fontId="68" fillId="0" borderId="12" xfId="55" applyNumberFormat="1" applyFont="1" applyBorder="1" applyAlignment="1">
      <alignment horizontal="center" vertical="center"/>
    </xf>
    <xf numFmtId="0" fontId="68" fillId="0" borderId="10" xfId="55" applyFont="1" applyBorder="1" applyAlignment="1">
      <alignment horizontal="center" vertical="center"/>
    </xf>
    <xf numFmtId="0" fontId="69" fillId="0" borderId="10" xfId="39" applyFont="1" applyBorder="1" applyAlignment="1">
      <alignment horizontal="center"/>
    </xf>
    <xf numFmtId="0" fontId="70" fillId="27" borderId="10" xfId="39" applyFont="1" applyFill="1" applyBorder="1" applyAlignment="1">
      <alignment horizontal="left" vertical="center" wrapText="1"/>
    </xf>
    <xf numFmtId="0" fontId="70" fillId="27" borderId="10" xfId="39" applyFont="1" applyFill="1" applyBorder="1" applyAlignment="1">
      <alignment horizontal="center" wrapText="1"/>
    </xf>
    <xf numFmtId="0" fontId="43" fillId="0" borderId="10" xfId="39" applyFont="1" applyBorder="1"/>
    <xf numFmtId="10" fontId="43" fillId="28" borderId="10" xfId="39" applyNumberFormat="1" applyFont="1" applyFill="1" applyBorder="1"/>
    <xf numFmtId="10" fontId="43" fillId="28" borderId="12" xfId="39" applyNumberFormat="1" applyFont="1" applyFill="1" applyBorder="1"/>
    <xf numFmtId="10" fontId="37" fillId="28" borderId="10" xfId="55" applyNumberFormat="1" applyFont="1" applyFill="1" applyBorder="1" applyAlignment="1">
      <alignment vertical="center"/>
    </xf>
    <xf numFmtId="0" fontId="43" fillId="0" borderId="12" xfId="39" applyFont="1" applyBorder="1"/>
    <xf numFmtId="10" fontId="43" fillId="0" borderId="12" xfId="39" applyNumberFormat="1" applyFont="1" applyBorder="1"/>
    <xf numFmtId="0" fontId="43" fillId="28" borderId="10" xfId="39" applyFont="1" applyFill="1" applyBorder="1"/>
    <xf numFmtId="3" fontId="31" fillId="28" borderId="10" xfId="55" applyNumberFormat="1" applyFont="1" applyFill="1" applyBorder="1" applyAlignment="1">
      <alignment horizontal="right" vertical="center"/>
    </xf>
    <xf numFmtId="170" fontId="37" fillId="28" borderId="10" xfId="55" applyNumberFormat="1" applyFont="1" applyFill="1" applyBorder="1" applyAlignment="1">
      <alignment horizontal="right" vertical="center"/>
    </xf>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center" vertical="center"/>
    </xf>
    <xf numFmtId="0" fontId="14" fillId="0" borderId="10" xfId="41" applyFont="1" applyBorder="1" applyAlignment="1">
      <alignment horizontal="left" vertical="top" wrapText="1"/>
    </xf>
    <xf numFmtId="14" fontId="14" fillId="0" borderId="10" xfId="41" applyNumberFormat="1" applyFont="1" applyBorder="1" applyAlignment="1">
      <alignment horizontal="center" vertical="center"/>
    </xf>
    <xf numFmtId="0" fontId="14" fillId="0" borderId="0" xfId="41" applyFont="1" applyAlignment="1">
      <alignment vertical="top" wrapText="1"/>
    </xf>
    <xf numFmtId="0" fontId="32"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176" fontId="27" fillId="0" borderId="10" xfId="41" applyNumberFormat="1" applyFont="1" applyBorder="1" applyAlignment="1">
      <alignment horizontal="center" vertical="center" wrapText="1"/>
    </xf>
    <xf numFmtId="176" fontId="35" fillId="0" borderId="10" xfId="41" applyNumberFormat="1" applyFont="1" applyBorder="1" applyAlignment="1">
      <alignment horizontal="center" vertical="center" wrapText="1"/>
    </xf>
    <xf numFmtId="176" fontId="14" fillId="0" borderId="0" xfId="41" applyNumberFormat="1" applyFont="1"/>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176"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177" fontId="14" fillId="0" borderId="0" xfId="41" applyNumberFormat="1" applyFont="1"/>
    <xf numFmtId="0" fontId="71" fillId="0" borderId="10" xfId="47" applyFont="1" applyBorder="1" applyAlignment="1">
      <alignment horizontal="left" vertical="center" wrapText="1"/>
    </xf>
    <xf numFmtId="176" fontId="72" fillId="0" borderId="10" xfId="47" applyNumberFormat="1" applyFont="1" applyBorder="1" applyAlignment="1">
      <alignment horizontal="center" vertical="center" wrapText="1"/>
    </xf>
    <xf numFmtId="0" fontId="72" fillId="0" borderId="10" xfId="47" applyFont="1" applyBorder="1" applyAlignment="1">
      <alignment horizontal="left" vertical="center" wrapText="1"/>
    </xf>
    <xf numFmtId="0" fontId="71" fillId="0" borderId="16" xfId="47" applyFont="1" applyBorder="1" applyAlignment="1">
      <alignment horizontal="left" vertical="center" wrapText="1"/>
    </xf>
    <xf numFmtId="176" fontId="72" fillId="0" borderId="16" xfId="47" applyNumberFormat="1" applyFont="1" applyBorder="1" applyAlignment="1">
      <alignment horizontal="center"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35" fillId="0" borderId="10" xfId="51" applyFont="1" applyBorder="1" applyAlignment="1">
      <alignment horizontal="center" vertical="center" wrapText="1"/>
    </xf>
    <xf numFmtId="0" fontId="35" fillId="0" borderId="10" xfId="51" applyFont="1" applyBorder="1" applyAlignment="1">
      <alignment horizontal="center" vertical="center"/>
    </xf>
    <xf numFmtId="0" fontId="42" fillId="0" borderId="0" xfId="51" applyFont="1"/>
    <xf numFmtId="0" fontId="42" fillId="0" borderId="10" xfId="51" applyFont="1" applyBorder="1" applyAlignment="1">
      <alignment horizontal="center" vertical="center"/>
    </xf>
    <xf numFmtId="1" fontId="42" fillId="0" borderId="10" xfId="51" applyNumberFormat="1" applyFont="1" applyBorder="1" applyAlignment="1">
      <alignment horizontal="center" vertical="center"/>
    </xf>
    <xf numFmtId="0" fontId="42" fillId="0" borderId="10" xfId="51" applyFont="1" applyBorder="1" applyAlignment="1">
      <alignment horizontal="center" vertical="center" wrapText="1"/>
    </xf>
    <xf numFmtId="49" fontId="42" fillId="0" borderId="10" xfId="51" applyNumberFormat="1" applyFont="1" applyBorder="1" applyAlignment="1">
      <alignment horizontal="center" vertical="center"/>
    </xf>
    <xf numFmtId="14" fontId="42" fillId="0" borderId="10" xfId="51" applyNumberFormat="1" applyFont="1" applyBorder="1" applyAlignment="1">
      <alignment horizontal="center" vertical="center"/>
    </xf>
    <xf numFmtId="2" fontId="42" fillId="0" borderId="10" xfId="51" applyNumberFormat="1" applyFont="1" applyBorder="1" applyAlignment="1">
      <alignment horizontal="center" vertical="center"/>
    </xf>
    <xf numFmtId="2" fontId="42" fillId="0" borderId="10" xfId="51" applyNumberFormat="1" applyFont="1" applyBorder="1" applyAlignment="1">
      <alignment horizontal="center" vertical="center" wrapText="1"/>
    </xf>
    <xf numFmtId="49" fontId="42" fillId="0" borderId="10" xfId="51" applyNumberFormat="1" applyFont="1" applyBorder="1" applyAlignment="1">
      <alignment horizontal="center" vertical="center" wrapText="1"/>
    </xf>
    <xf numFmtId="170" fontId="42" fillId="0" borderId="10" xfId="51" applyNumberFormat="1" applyFont="1" applyBorder="1" applyAlignment="1">
      <alignment horizontal="center" vertical="center" wrapText="1"/>
    </xf>
    <xf numFmtId="1" fontId="42" fillId="0" borderId="10" xfId="51" applyNumberFormat="1" applyFont="1" applyBorder="1" applyAlignment="1">
      <alignment horizontal="center" vertical="center" wrapText="1"/>
    </xf>
    <xf numFmtId="14" fontId="42" fillId="0" borderId="10" xfId="51" applyNumberFormat="1" applyFont="1" applyBorder="1" applyAlignment="1">
      <alignment horizontal="center" vertical="center" wrapText="1"/>
    </xf>
    <xf numFmtId="170" fontId="42" fillId="0" borderId="10" xfId="51" applyNumberFormat="1" applyFont="1" applyBorder="1" applyAlignment="1">
      <alignment horizontal="center" vertical="center"/>
    </xf>
    <xf numFmtId="170" fontId="37" fillId="0" borderId="0" xfId="51" applyNumberFormat="1" applyFont="1"/>
    <xf numFmtId="0" fontId="57" fillId="0" borderId="0" xfId="41" applyFont="1"/>
    <xf numFmtId="0" fontId="41" fillId="0" borderId="0" xfId="41" applyFont="1" applyAlignment="1">
      <alignment horizontal="center"/>
    </xf>
    <xf numFmtId="0" fontId="41" fillId="0" borderId="0" xfId="41" applyFont="1"/>
    <xf numFmtId="2" fontId="75" fillId="0" borderId="0" xfId="41" applyNumberFormat="1" applyFont="1" applyAlignment="1">
      <alignment horizontal="right" vertical="top" wrapText="1"/>
    </xf>
    <xf numFmtId="0" fontId="57" fillId="0" borderId="0" xfId="41" applyFont="1" applyAlignment="1">
      <alignment horizontal="right"/>
    </xf>
    <xf numFmtId="0" fontId="56" fillId="0" borderId="43" xfId="41" applyFont="1" applyBorder="1" applyAlignment="1">
      <alignment horizontal="justify"/>
    </xf>
    <xf numFmtId="0" fontId="57" fillId="0" borderId="43" xfId="41" applyFont="1" applyBorder="1" applyAlignment="1">
      <alignment horizontal="justify"/>
    </xf>
    <xf numFmtId="0" fontId="57" fillId="0" borderId="44" xfId="41" applyFont="1" applyBorder="1" applyAlignment="1">
      <alignment horizontal="justify"/>
    </xf>
    <xf numFmtId="0" fontId="56" fillId="0" borderId="43" xfId="41" applyFont="1" applyBorder="1" applyAlignment="1">
      <alignment vertical="top" wrapText="1"/>
    </xf>
    <xf numFmtId="0" fontId="56" fillId="0" borderId="45" xfId="41" applyFont="1" applyBorder="1" applyAlignment="1">
      <alignment vertical="top" wrapText="1"/>
    </xf>
    <xf numFmtId="0" fontId="56" fillId="0" borderId="45" xfId="41" applyFont="1" applyBorder="1" applyAlignment="1">
      <alignment horizontal="justify" vertical="top" wrapText="1"/>
    </xf>
    <xf numFmtId="2" fontId="57" fillId="0" borderId="43" xfId="41" applyNumberFormat="1" applyFont="1" applyBorder="1" applyAlignment="1">
      <alignment horizontal="justify" vertical="top" wrapText="1"/>
    </xf>
    <xf numFmtId="0" fontId="57" fillId="0" borderId="43" xfId="41" applyFont="1" applyBorder="1" applyAlignment="1">
      <alignment horizontal="justify" vertical="top" wrapText="1"/>
    </xf>
    <xf numFmtId="0" fontId="56" fillId="0" borderId="43" xfId="41" applyFont="1" applyBorder="1" applyAlignment="1">
      <alignment horizontal="justify" vertical="top" wrapText="1"/>
    </xf>
    <xf numFmtId="4" fontId="57" fillId="0" borderId="43" xfId="41" applyNumberFormat="1" applyFont="1" applyBorder="1" applyAlignment="1">
      <alignment horizontal="justify" vertical="top" wrapText="1"/>
    </xf>
    <xf numFmtId="0" fontId="14" fillId="29" borderId="0" xfId="41" applyFont="1" applyFill="1"/>
    <xf numFmtId="0" fontId="57" fillId="30" borderId="43" xfId="41" applyFont="1" applyFill="1" applyBorder="1" applyAlignment="1">
      <alignment horizontal="justify" vertical="top" wrapText="1"/>
    </xf>
    <xf numFmtId="4" fontId="57" fillId="30" borderId="43" xfId="41" applyNumberFormat="1" applyFont="1" applyFill="1" applyBorder="1" applyAlignment="1">
      <alignment horizontal="justify" vertical="top" wrapText="1"/>
    </xf>
    <xf numFmtId="10" fontId="57" fillId="0" borderId="43" xfId="41" applyNumberFormat="1" applyFont="1" applyBorder="1" applyAlignment="1">
      <alignment horizontal="justify" vertical="top" wrapText="1"/>
    </xf>
    <xf numFmtId="0" fontId="57" fillId="29" borderId="43" xfId="41" applyFont="1" applyFill="1" applyBorder="1" applyAlignment="1">
      <alignment horizontal="justify" vertical="top" wrapText="1"/>
    </xf>
    <xf numFmtId="4" fontId="57" fillId="29" borderId="43" xfId="41" applyNumberFormat="1" applyFont="1" applyFill="1" applyBorder="1" applyAlignment="1">
      <alignment horizontal="justify" vertical="top" wrapText="1"/>
    </xf>
    <xf numFmtId="0" fontId="56" fillId="0" borderId="44" xfId="41" applyFont="1" applyBorder="1" applyAlignment="1">
      <alignment vertical="top" wrapText="1"/>
    </xf>
    <xf numFmtId="0" fontId="57" fillId="0" borderId="44" xfId="41" applyFont="1" applyBorder="1" applyAlignment="1">
      <alignment vertical="top" wrapText="1"/>
    </xf>
    <xf numFmtId="0" fontId="54" fillId="0" borderId="0" xfId="41" applyFont="1" applyAlignment="1">
      <alignment vertical="center"/>
    </xf>
    <xf numFmtId="0" fontId="56" fillId="0" borderId="43" xfId="41" applyFont="1" applyBorder="1" applyAlignment="1">
      <alignment horizontal="justify" vertical="center" wrapText="1"/>
    </xf>
    <xf numFmtId="4" fontId="56" fillId="0" borderId="43" xfId="41" applyNumberFormat="1" applyFont="1" applyBorder="1" applyAlignment="1">
      <alignment horizontal="justify" vertical="center" wrapText="1"/>
    </xf>
    <xf numFmtId="0" fontId="76" fillId="0" borderId="0" xfId="41" applyFont="1" applyAlignment="1">
      <alignment horizontal="center" vertical="center"/>
    </xf>
    <xf numFmtId="10" fontId="57" fillId="0" borderId="46"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57" fillId="0" borderId="47" xfId="41" applyFont="1" applyBorder="1" applyAlignment="1">
      <alignment vertical="top" wrapText="1"/>
    </xf>
    <xf numFmtId="0" fontId="57" fillId="0" borderId="45" xfId="41" applyFont="1" applyBorder="1" applyAlignment="1">
      <alignment vertical="top" wrapText="1"/>
    </xf>
    <xf numFmtId="0" fontId="57" fillId="0" borderId="43" xfId="41" applyFont="1" applyBorder="1" applyAlignment="1">
      <alignment vertical="top" wrapText="1"/>
    </xf>
    <xf numFmtId="0" fontId="57" fillId="0" borderId="43" xfId="41" applyFont="1" applyBorder="1" applyAlignment="1">
      <alignment horizontal="left" vertical="top" wrapText="1"/>
    </xf>
    <xf numFmtId="0" fontId="57" fillId="0" borderId="48" xfId="41" applyFont="1" applyBorder="1" applyAlignment="1">
      <alignment horizontal="left" vertical="top" wrapText="1"/>
    </xf>
    <xf numFmtId="0" fontId="56" fillId="0" borderId="44" xfId="41" applyFont="1" applyBorder="1" applyAlignment="1">
      <alignment horizontal="left" vertical="center" wrapText="1"/>
    </xf>
    <xf numFmtId="0" fontId="57" fillId="0" borderId="44" xfId="41" applyFont="1" applyBorder="1" applyAlignment="1">
      <alignment horizontal="left" vertical="top" wrapText="1"/>
    </xf>
    <xf numFmtId="0" fontId="57" fillId="0" borderId="46" xfId="41" applyFont="1" applyBorder="1" applyAlignment="1">
      <alignment horizontal="justify" vertical="top" wrapText="1"/>
    </xf>
    <xf numFmtId="0" fontId="57" fillId="0" borderId="48" xfId="41" applyFont="1" applyBorder="1" applyAlignment="1">
      <alignment horizontal="justify" vertical="top" wrapText="1"/>
    </xf>
    <xf numFmtId="0" fontId="56" fillId="0" borderId="44" xfId="41" applyFont="1" applyBorder="1" applyAlignment="1">
      <alignment horizontal="center" vertical="center" wrapText="1"/>
    </xf>
    <xf numFmtId="0" fontId="57" fillId="0" borderId="48" xfId="41" applyFont="1" applyBorder="1" applyAlignment="1">
      <alignment vertical="top" wrapText="1"/>
    </xf>
    <xf numFmtId="0" fontId="57" fillId="0" borderId="45" xfId="41" applyFont="1" applyBorder="1"/>
    <xf numFmtId="1" fontId="56" fillId="0" borderId="0" xfId="41" applyNumberFormat="1" applyFont="1" applyAlignment="1">
      <alignment horizontal="left" vertical="top"/>
    </xf>
    <xf numFmtId="49" fontId="57" fillId="0" borderId="0" xfId="41" applyNumberFormat="1" applyFont="1" applyAlignment="1">
      <alignment horizontal="left" vertical="top" wrapText="1"/>
    </xf>
    <xf numFmtId="49" fontId="57" fillId="0" borderId="0" xfId="41" applyNumberFormat="1" applyFont="1" applyAlignment="1">
      <alignment horizontal="left" vertical="top"/>
    </xf>
    <xf numFmtId="0" fontId="57" fillId="0" borderId="0" xfId="41"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31" fillId="0" borderId="0" xfId="52" applyFont="1" applyAlignment="1">
      <alignment horizontal="center" vertical="center"/>
    </xf>
    <xf numFmtId="0" fontId="32" fillId="0" borderId="0" xfId="52" applyFont="1" applyAlignment="1">
      <alignment horizontal="center" vertical="center"/>
    </xf>
    <xf numFmtId="49" fontId="31" fillId="0" borderId="11" xfId="52" applyNumberFormat="1" applyFont="1" applyBorder="1" applyAlignment="1">
      <alignment horizontal="center" vertical="center"/>
    </xf>
    <xf numFmtId="49" fontId="31" fillId="0" borderId="12" xfId="52" applyNumberFormat="1" applyFont="1" applyBorder="1" applyAlignment="1">
      <alignment horizontal="center" vertical="center"/>
    </xf>
    <xf numFmtId="49" fontId="31" fillId="0" borderId="13" xfId="52" applyNumberFormat="1" applyFont="1" applyBorder="1" applyAlignment="1">
      <alignment horizontal="center" vertical="center"/>
    </xf>
    <xf numFmtId="0" fontId="29" fillId="0" borderId="0" xfId="52" applyFont="1" applyAlignment="1">
      <alignment horizontal="center" vertical="center" wrapText="1"/>
    </xf>
    <xf numFmtId="0" fontId="32" fillId="0" borderId="0" xfId="52" applyFont="1" applyAlignment="1">
      <alignment horizontal="center" vertical="center" wrapText="1"/>
    </xf>
    <xf numFmtId="0" fontId="30" fillId="0" borderId="0" xfId="52" applyFont="1" applyAlignment="1">
      <alignment horizontal="center" vertical="center"/>
    </xf>
    <xf numFmtId="0" fontId="33" fillId="0" borderId="0" xfId="52" applyFont="1" applyAlignment="1">
      <alignment horizontal="center" vertical="center"/>
    </xf>
    <xf numFmtId="167" fontId="31" fillId="0" borderId="0" xfId="52" applyNumberFormat="1" applyFont="1" applyAlignment="1">
      <alignment horizontal="center" vertical="center"/>
    </xf>
    <xf numFmtId="0" fontId="31" fillId="0" borderId="14" xfId="52" applyFont="1" applyBorder="1" applyAlignment="1">
      <alignment vertical="center"/>
    </xf>
    <xf numFmtId="0" fontId="35" fillId="0" borderId="10" xfId="52" applyFont="1" applyBorder="1" applyAlignment="1">
      <alignment horizontal="center" vertical="center" wrapText="1"/>
    </xf>
    <xf numFmtId="0" fontId="35" fillId="0" borderId="15" xfId="52" applyFont="1" applyBorder="1" applyAlignment="1">
      <alignment horizontal="center" vertical="center" wrapText="1"/>
    </xf>
    <xf numFmtId="0" fontId="35" fillId="0" borderId="16" xfId="52" applyFont="1" applyBorder="1" applyAlignment="1">
      <alignment horizontal="center" vertical="center" wrapText="1"/>
    </xf>
    <xf numFmtId="0" fontId="28" fillId="0" borderId="10" xfId="52" applyFont="1" applyBorder="1" applyAlignment="1">
      <alignment horizontal="center" vertical="center" wrapText="1"/>
    </xf>
    <xf numFmtId="0" fontId="27" fillId="0" borderId="11" xfId="39" applyFont="1" applyBorder="1" applyAlignment="1">
      <alignment horizontal="center" vertical="center" wrapText="1"/>
    </xf>
    <xf numFmtId="0" fontId="27" fillId="0" borderId="12" xfId="39" applyFont="1" applyBorder="1" applyAlignment="1">
      <alignment horizontal="center" vertical="center" wrapText="1"/>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3" xfId="39" applyFont="1" applyBorder="1" applyAlignment="1">
      <alignment horizontal="center" vertical="center" wrapText="1"/>
    </xf>
    <xf numFmtId="0" fontId="30" fillId="0" borderId="0" xfId="52" applyFont="1" applyAlignment="1">
      <alignment horizontal="center" vertical="center" wrapText="1"/>
    </xf>
    <xf numFmtId="0" fontId="37" fillId="0" borderId="0" xfId="51" applyFont="1" applyAlignment="1">
      <alignment horizontal="center"/>
    </xf>
    <xf numFmtId="0" fontId="36"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8" fillId="0" borderId="0" xfId="52" applyFont="1" applyAlignment="1">
      <alignment horizontal="center" vertical="center" wrapText="1"/>
    </xf>
    <xf numFmtId="0" fontId="35" fillId="0" borderId="11" xfId="52" applyFont="1" applyBorder="1" applyAlignment="1">
      <alignment horizontal="center" vertical="center" wrapText="1"/>
    </xf>
    <xf numFmtId="0" fontId="35" fillId="0" borderId="12" xfId="52" applyFont="1" applyBorder="1" applyAlignment="1">
      <alignment horizontal="center" vertical="center" wrapText="1"/>
    </xf>
    <xf numFmtId="0" fontId="35" fillId="0" borderId="13" xfId="52" applyFont="1" applyBorder="1" applyAlignment="1">
      <alignment horizontal="center" vertical="center" wrapText="1"/>
    </xf>
    <xf numFmtId="0" fontId="27" fillId="0" borderId="0" xfId="53" applyFont="1" applyAlignment="1">
      <alignment horizontal="center" vertical="center"/>
    </xf>
    <xf numFmtId="0" fontId="53" fillId="0" borderId="11" xfId="55" applyFont="1" applyBorder="1" applyAlignment="1">
      <alignment horizontal="center" vertical="center" wrapText="1"/>
    </xf>
    <xf numFmtId="0" fontId="53" fillId="0" borderId="12" xfId="55" applyFont="1" applyBorder="1" applyAlignment="1">
      <alignment horizontal="center" vertical="center" wrapText="1"/>
    </xf>
    <xf numFmtId="0" fontId="53" fillId="0" borderId="13" xfId="55" applyFont="1" applyBorder="1" applyAlignment="1">
      <alignment horizontal="center" vertical="center" wrapText="1"/>
    </xf>
    <xf numFmtId="4" fontId="53" fillId="0" borderId="11" xfId="55" applyNumberFormat="1" applyFont="1" applyBorder="1" applyAlignment="1">
      <alignment horizontal="center" vertical="center"/>
    </xf>
    <xf numFmtId="4" fontId="53" fillId="0" borderId="13" xfId="55" applyNumberFormat="1" applyFont="1" applyBorder="1" applyAlignment="1">
      <alignment horizontal="center" vertical="center"/>
    </xf>
    <xf numFmtId="3" fontId="53" fillId="0" borderId="11" xfId="55" applyNumberFormat="1" applyFont="1" applyBorder="1" applyAlignment="1">
      <alignment horizontal="center" vertical="center"/>
    </xf>
    <xf numFmtId="3" fontId="53" fillId="0" borderId="13" xfId="55" applyNumberFormat="1" applyFont="1" applyBorder="1" applyAlignment="1">
      <alignment horizontal="center" vertical="center"/>
    </xf>
    <xf numFmtId="0" fontId="53" fillId="0" borderId="11" xfId="55" applyFont="1" applyBorder="1" applyAlignment="1">
      <alignment horizontal="center" vertical="center"/>
    </xf>
    <xf numFmtId="0" fontId="53" fillId="0" borderId="12" xfId="55" applyFont="1" applyBorder="1" applyAlignment="1">
      <alignment horizontal="center" vertical="center"/>
    </xf>
    <xf numFmtId="0" fontId="53" fillId="0" borderId="13" xfId="55" applyFont="1" applyBorder="1" applyAlignment="1">
      <alignment horizontal="center" vertical="center"/>
    </xf>
    <xf numFmtId="0" fontId="62" fillId="0" borderId="0" xfId="55" applyFont="1" applyAlignment="1">
      <alignment horizontal="left" vertical="center" wrapText="1"/>
    </xf>
    <xf numFmtId="0" fontId="15" fillId="0" borderId="11" xfId="39" applyFont="1" applyBorder="1" applyAlignment="1">
      <alignment horizontal="center" vertical="center" wrapText="1"/>
    </xf>
    <xf numFmtId="0" fontId="15" fillId="0" borderId="13" xfId="39" applyFont="1" applyBorder="1" applyAlignment="1">
      <alignment horizontal="center" vertical="center" wrapText="1"/>
    </xf>
    <xf numFmtId="0" fontId="31" fillId="26" borderId="0" xfId="39" applyFont="1" applyFill="1" applyAlignment="1">
      <alignment horizontal="center" vertical="center" wrapText="1"/>
    </xf>
    <xf numFmtId="0" fontId="53" fillId="26" borderId="0" xfId="0" applyFont="1" applyFill="1" applyAlignment="1">
      <alignment horizontal="center" vertical="center" wrapText="1"/>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41" applyFont="1" applyBorder="1" applyAlignment="1">
      <alignment horizontal="center" vertical="center" wrapText="1"/>
    </xf>
    <xf numFmtId="0" fontId="27" fillId="0" borderId="21"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5" fillId="0" borderId="15" xfId="41" applyFont="1" applyBorder="1" applyAlignment="1">
      <alignment horizontal="center" vertical="center" wrapText="1"/>
    </xf>
    <xf numFmtId="0" fontId="35" fillId="0" borderId="19" xfId="41" applyFont="1" applyBorder="1" applyAlignment="1">
      <alignment horizontal="center" vertical="center" wrapText="1"/>
    </xf>
    <xf numFmtId="0" fontId="35" fillId="0" borderId="16" xfId="41" applyFont="1" applyBorder="1" applyAlignment="1">
      <alignment horizontal="center"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36" fillId="0" borderId="14" xfId="51" applyFont="1" applyBorder="1" applyAlignment="1">
      <alignment horizontal="center"/>
    </xf>
    <xf numFmtId="0" fontId="35" fillId="0" borderId="15" xfId="51" applyFont="1" applyBorder="1" applyAlignment="1">
      <alignment horizontal="center" vertical="center" wrapText="1"/>
    </xf>
    <xf numFmtId="0" fontId="35" fillId="0" borderId="19" xfId="51" applyFont="1" applyBorder="1" applyAlignment="1">
      <alignment horizontal="center" vertical="center" wrapText="1"/>
    </xf>
    <xf numFmtId="0" fontId="35" fillId="0" borderId="16" xfId="51" applyFont="1" applyBorder="1" applyAlignment="1">
      <alignment horizontal="center" vertical="center" wrapText="1"/>
    </xf>
    <xf numFmtId="0" fontId="35" fillId="0" borderId="17" xfId="51" applyFont="1" applyBorder="1" applyAlignment="1">
      <alignment horizontal="center" vertical="center" wrapText="1"/>
    </xf>
    <xf numFmtId="0" fontId="35" fillId="0" borderId="39" xfId="51" applyFont="1" applyBorder="1" applyAlignment="1">
      <alignment horizontal="center" vertical="center" wrapText="1"/>
    </xf>
    <xf numFmtId="0" fontId="35" fillId="0" borderId="20" xfId="51" applyFont="1" applyBorder="1" applyAlignment="1">
      <alignment horizontal="center" vertical="center" wrapText="1"/>
    </xf>
    <xf numFmtId="0" fontId="35" fillId="0" borderId="11" xfId="51" applyFont="1" applyBorder="1" applyAlignment="1">
      <alignment horizontal="center" vertical="center" wrapText="1"/>
    </xf>
    <xf numFmtId="0" fontId="35" fillId="0" borderId="12" xfId="51" applyFont="1" applyBorder="1" applyAlignment="1">
      <alignment horizontal="center" vertical="center" wrapText="1"/>
    </xf>
    <xf numFmtId="0" fontId="35" fillId="0" borderId="13" xfId="51" applyFont="1" applyBorder="1" applyAlignment="1">
      <alignment horizontal="center" vertical="center" wrapText="1"/>
    </xf>
    <xf numFmtId="0" fontId="35" fillId="0" borderId="10" xfId="51" applyFont="1" applyBorder="1" applyAlignment="1">
      <alignment horizontal="center" vertical="center" wrapText="1"/>
    </xf>
    <xf numFmtId="0" fontId="35" fillId="0" borderId="10" xfId="51" applyFont="1" applyBorder="1" applyAlignment="1">
      <alignment horizontal="center" vertical="center" textRotation="90" wrapText="1"/>
    </xf>
    <xf numFmtId="0" fontId="27" fillId="0" borderId="10" xfId="51" applyFont="1" applyBorder="1" applyAlignment="1" applyProtection="1">
      <alignment horizontal="center" vertical="center" textRotation="90"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73" fillId="0" borderId="10" xfId="51" applyFont="1" applyBorder="1" applyAlignment="1">
      <alignment horizontal="center" vertical="center" wrapText="1"/>
    </xf>
    <xf numFmtId="0" fontId="36" fillId="0" borderId="10" xfId="51" applyFont="1" applyBorder="1" applyAlignment="1">
      <alignment horizontal="center" vertical="center" wrapText="1"/>
    </xf>
    <xf numFmtId="0" fontId="35" fillId="0" borderId="15" xfId="51" applyFont="1" applyBorder="1" applyAlignment="1">
      <alignment horizontal="center" vertical="center" textRotation="90" wrapText="1"/>
    </xf>
    <xf numFmtId="0" fontId="35" fillId="0" borderId="16" xfId="51" applyFont="1" applyBorder="1" applyAlignment="1">
      <alignment horizontal="center" vertical="center" textRotation="90" wrapText="1"/>
    </xf>
    <xf numFmtId="0" fontId="72" fillId="0" borderId="15" xfId="47" applyFont="1" applyBorder="1" applyAlignment="1">
      <alignment horizontal="center" vertical="center" textRotation="90" wrapText="1"/>
    </xf>
    <xf numFmtId="0" fontId="72"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35" fillId="0" borderId="15" xfId="51" applyFont="1" applyBorder="1" applyAlignment="1">
      <alignment horizontal="center" vertical="center"/>
    </xf>
    <xf numFmtId="0" fontId="35" fillId="0" borderId="16" xfId="51" applyFont="1" applyBorder="1" applyAlignment="1">
      <alignment horizontal="center" vertical="center"/>
    </xf>
    <xf numFmtId="0" fontId="41" fillId="0" borderId="0" xfId="41" applyFont="1" applyAlignment="1">
      <alignment horizontal="center"/>
    </xf>
    <xf numFmtId="0" fontId="74" fillId="0" borderId="0" xfId="52" applyFont="1" applyAlignment="1">
      <alignment horizontal="center" vertical="center"/>
    </xf>
    <xf numFmtId="0" fontId="74" fillId="0" borderId="0" xfId="52" applyFont="1" applyAlignment="1">
      <alignment horizontal="center" vertical="center" wrapText="1"/>
    </xf>
    <xf numFmtId="0" fontId="56" fillId="0" borderId="0" xfId="41" applyFont="1" applyAlignment="1">
      <alignment horizontal="center" wrapText="1"/>
    </xf>
    <xf numFmtId="0" fontId="56" fillId="0" borderId="0" xfId="41" applyFont="1" applyAlignment="1">
      <alignment horizontal="center"/>
    </xf>
    <xf numFmtId="0" fontId="57" fillId="0" borderId="44" xfId="41" applyFont="1" applyBorder="1" applyAlignment="1">
      <alignment horizontal="left" vertical="top" wrapText="1"/>
    </xf>
    <xf numFmtId="0" fontId="57" fillId="0" borderId="47" xfId="41" applyFont="1" applyBorder="1" applyAlignment="1">
      <alignment horizontal="left" vertical="top" wrapText="1"/>
    </xf>
    <xf numFmtId="0" fontId="57" fillId="0" borderId="45" xfId="41" applyFont="1" applyBorder="1" applyAlignment="1">
      <alignment horizontal="left" vertical="top"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-37469921.86235112</c:v>
                </c:pt>
                <c:pt idx="1">
                  <c:v>966512.07422465773</c:v>
                </c:pt>
                <c:pt idx="2">
                  <c:v>849979.838382427</c:v>
                </c:pt>
                <c:pt idx="3">
                  <c:v>747497.87915084604</c:v>
                </c:pt>
                <c:pt idx="4">
                  <c:v>657372.15649533551</c:v>
                </c:pt>
                <c:pt idx="5">
                  <c:v>578112.88056928641</c:v>
                </c:pt>
                <c:pt idx="6">
                  <c:v>508409.88529530069</c:v>
                </c:pt>
                <c:pt idx="7">
                  <c:v>447110.97115055908</c:v>
                </c:pt>
                <c:pt idx="8">
                  <c:v>393202.85915975639</c:v>
                </c:pt>
                <c:pt idx="9">
                  <c:v>345794.44126264751</c:v>
                </c:pt>
                <c:pt idx="10">
                  <c:v>304102.05018261145</c:v>
                </c:pt>
              </c:numCache>
            </c:numRef>
          </c:val>
          <c:smooth val="0"/>
          <c:extLst>
            <c:ext xmlns:c16="http://schemas.microsoft.com/office/drawing/2014/chart" uri="{C3380CC4-5D6E-409C-BE32-E72D297353CC}">
              <c16:uniqueId val="{00000000-257E-4009-A1CE-5D2109424FE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-37469921.86235112</c:v>
                </c:pt>
                <c:pt idx="1">
                  <c:v>-36503409.788126461</c:v>
                </c:pt>
                <c:pt idx="2">
                  <c:v>-35653429.949744031</c:v>
                </c:pt>
                <c:pt idx="3">
                  <c:v>-34905932.070593186</c:v>
                </c:pt>
                <c:pt idx="4">
                  <c:v>-34248559.914097853</c:v>
                </c:pt>
                <c:pt idx="5">
                  <c:v>-33670447.033528566</c:v>
                </c:pt>
                <c:pt idx="6">
                  <c:v>-33162037.148233265</c:v>
                </c:pt>
                <c:pt idx="7">
                  <c:v>-32714926.177082706</c:v>
                </c:pt>
                <c:pt idx="8">
                  <c:v>-32321723.31792295</c:v>
                </c:pt>
                <c:pt idx="9">
                  <c:v>-31975928.876660302</c:v>
                </c:pt>
                <c:pt idx="10">
                  <c:v>-31671826.826477692</c:v>
                </c:pt>
              </c:numCache>
            </c:numRef>
          </c:val>
          <c:smooth val="0"/>
          <c:extLst>
            <c:ext xmlns:c16="http://schemas.microsoft.com/office/drawing/2014/chart" uri="{C3380CC4-5D6E-409C-BE32-E72D297353CC}">
              <c16:uniqueId val="{00000001-257E-4009-A1CE-5D2109424FEC}"/>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9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4" t="s">
        <v>3</v>
      </c>
      <c r="B5" s="314"/>
      <c r="C5" s="314"/>
      <c r="D5" s="8"/>
      <c r="E5" s="8"/>
      <c r="F5" s="8"/>
      <c r="G5" s="8"/>
      <c r="H5" s="8"/>
      <c r="I5" s="8"/>
      <c r="J5" s="8"/>
    </row>
    <row r="6" spans="1:22" s="2" customFormat="1" ht="18.75" x14ac:dyDescent="0.3">
      <c r="A6" s="6"/>
      <c r="H6" s="5"/>
    </row>
    <row r="7" spans="1:22" s="2" customFormat="1" ht="18.75" x14ac:dyDescent="0.2">
      <c r="A7" s="315" t="s">
        <v>4</v>
      </c>
      <c r="B7" s="315"/>
      <c r="C7" s="315"/>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6" t="s">
        <v>5</v>
      </c>
      <c r="B9" s="316"/>
      <c r="C9" s="316"/>
      <c r="D9" s="11"/>
      <c r="E9" s="11"/>
      <c r="F9" s="11"/>
      <c r="G9" s="11"/>
      <c r="H9" s="11"/>
      <c r="I9" s="10"/>
      <c r="J9" s="10"/>
      <c r="K9" s="10"/>
      <c r="L9" s="10"/>
      <c r="M9" s="10"/>
      <c r="N9" s="10"/>
      <c r="O9" s="10"/>
      <c r="P9" s="10"/>
      <c r="Q9" s="10"/>
      <c r="R9" s="10"/>
      <c r="S9" s="10"/>
      <c r="T9" s="10"/>
      <c r="U9" s="10"/>
      <c r="V9" s="10"/>
    </row>
    <row r="10" spans="1:22" s="2" customFormat="1" ht="18.75" x14ac:dyDescent="0.2">
      <c r="A10" s="317" t="s">
        <v>6</v>
      </c>
      <c r="B10" s="317"/>
      <c r="C10" s="317"/>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8" t="s">
        <v>7</v>
      </c>
      <c r="B12" s="318"/>
      <c r="C12" s="318"/>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7" t="s">
        <v>8</v>
      </c>
      <c r="B13" s="317"/>
      <c r="C13" s="317"/>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97.5" customHeight="1" x14ac:dyDescent="0.2">
      <c r="A15" s="322" t="s">
        <v>9</v>
      </c>
      <c r="B15" s="322"/>
      <c r="C15" s="322"/>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7" t="s">
        <v>10</v>
      </c>
      <c r="B16" s="317"/>
      <c r="C16" s="317"/>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23" t="s">
        <v>11</v>
      </c>
      <c r="B18" s="318"/>
      <c r="C18" s="318"/>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47.25"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19"/>
      <c r="B24" s="320"/>
      <c r="C24" s="321"/>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4"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19"/>
      <c r="B39" s="320"/>
      <c r="C39" s="321"/>
    </row>
    <row r="40" spans="1:18" ht="63" x14ac:dyDescent="0.25">
      <c r="A40" s="20" t="s">
        <v>56</v>
      </c>
      <c r="B40" s="22" t="s">
        <v>57</v>
      </c>
      <c r="C40" s="17" t="str">
        <f>CONCATENATE("L6з_лэп = ",('3.2 паспорт Техсостояние ЛЭП'!R53)," км; L10з_лэп = ",'3.2 паспорт Техсостояние ЛЭП'!R54," км")</f>
        <v>L6з_лэп = 2,69 км; L10з_лэп = 6,818 км</v>
      </c>
    </row>
    <row r="41" spans="1:18" ht="105.75" customHeight="1" x14ac:dyDescent="0.25">
      <c r="A41" s="20" t="s">
        <v>58</v>
      </c>
      <c r="B41" s="22" t="s">
        <v>59</v>
      </c>
      <c r="C41" s="17" t="s">
        <v>60</v>
      </c>
    </row>
    <row r="42" spans="1:18" ht="83.25" customHeight="1" x14ac:dyDescent="0.25">
      <c r="A42" s="20" t="s">
        <v>61</v>
      </c>
      <c r="B42" s="22" t="s">
        <v>62</v>
      </c>
      <c r="C42" s="17" t="s">
        <v>60</v>
      </c>
    </row>
    <row r="43" spans="1:18" ht="186" customHeight="1" x14ac:dyDescent="0.25">
      <c r="A43" s="20" t="s">
        <v>63</v>
      </c>
      <c r="B43" s="22" t="s">
        <v>64</v>
      </c>
      <c r="C43" s="17" t="s">
        <v>23</v>
      </c>
    </row>
    <row r="44" spans="1:18" ht="111" customHeight="1" x14ac:dyDescent="0.25">
      <c r="A44" s="20" t="s">
        <v>65</v>
      </c>
      <c r="B44" s="22" t="s">
        <v>66</v>
      </c>
      <c r="C44" s="17" t="s">
        <v>23</v>
      </c>
    </row>
    <row r="45" spans="1:18" ht="89.25" customHeight="1" x14ac:dyDescent="0.25">
      <c r="A45" s="20" t="s">
        <v>67</v>
      </c>
      <c r="B45" s="22" t="s">
        <v>68</v>
      </c>
      <c r="C45" s="17" t="s">
        <v>23</v>
      </c>
    </row>
    <row r="46" spans="1:18" ht="101.25" customHeight="1" x14ac:dyDescent="0.25">
      <c r="A46" s="20" t="s">
        <v>69</v>
      </c>
      <c r="B46" s="22" t="s">
        <v>70</v>
      </c>
      <c r="C46" s="17" t="s">
        <v>23</v>
      </c>
    </row>
    <row r="47" spans="1:18" ht="18.75" customHeight="1" x14ac:dyDescent="0.25">
      <c r="A47" s="319"/>
      <c r="B47" s="320"/>
      <c r="C47" s="321"/>
    </row>
    <row r="48" spans="1:18" ht="75.75" customHeight="1" x14ac:dyDescent="0.25">
      <c r="A48" s="20" t="s">
        <v>71</v>
      </c>
      <c r="B48" s="22" t="s">
        <v>72</v>
      </c>
      <c r="C48" s="17" t="str">
        <f>CONCATENATE(ROUND('6.2. Паспорт фин осв ввод'!AC24,2)," млн.руб.")</f>
        <v>205,35 млн.руб.</v>
      </c>
    </row>
    <row r="49" spans="1:3" ht="71.25" customHeight="1" x14ac:dyDescent="0.25">
      <c r="A49" s="20" t="s">
        <v>73</v>
      </c>
      <c r="B49" s="22" t="s">
        <v>74</v>
      </c>
      <c r="C49" s="17" t="str">
        <f>CONCATENATE(ROUND('6.2. Паспорт фин осв ввод'!AC30,2)," млн.руб.")</f>
        <v>175,79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0800A5-0079-489B-8900-00BB00DC00E5}">
      <formula1>список</formula1>
    </dataValidation>
    <dataValidation type="list" allowBlank="1" showInputMessage="1" showErrorMessage="1" sqref="C23" xr:uid="{00BE0094-005D-4FA9-A21E-009500F4005D}">
      <formula1>список1</formula1>
    </dataValidation>
    <dataValidation type="list" allowBlank="1" showInputMessage="1" showErrorMessage="1" sqref="C27" xr:uid="{0037000B-0072-473A-ABFC-003300CB0033}">
      <formula1>список2</formula1>
    </dataValidation>
    <dataValidation type="list" allowBlank="1" showInputMessage="1" showErrorMessage="1" sqref="C36:C38 C28:C32" xr:uid="{000700E7-0023-4922-A20D-00E40081002D}">
      <formula1>список6</formula1>
    </dataValidation>
    <dataValidation type="list" allowBlank="1" showInputMessage="1" showErrorMessage="1" sqref="C33:C34" xr:uid="{007900A3-008F-4B1C-B4FF-00EA00A300FF}">
      <formula1>список7</formula1>
    </dataValidation>
    <dataValidation type="list" allowBlank="1" showInputMessage="1" showErrorMessage="1" sqref="C35" xr:uid="{00C800EB-00D7-4D95-B439-004300380083}">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7" ySplit="5" topLeftCell="H25" activePane="bottomRight" state="frozen"/>
      <selection activeCell="A20" sqref="A20"/>
      <selection pane="topRight" activeCell="H20" sqref="H20"/>
      <selection pane="bottomLeft" activeCell="A25" sqref="A25"/>
      <selection pane="bottomRight" activeCell="O30" sqref="O30"/>
    </sheetView>
  </sheetViews>
  <sheetFormatPr defaultColWidth="9.140625" defaultRowHeight="15.75" x14ac:dyDescent="0.25"/>
  <cols>
    <col min="1" max="1" width="9.140625" style="209"/>
    <col min="2" max="2" width="57.85546875" style="209" customWidth="1"/>
    <col min="3" max="3" width="13" style="209" customWidth="1"/>
    <col min="4" max="4" width="17.85546875" style="209" customWidth="1"/>
    <col min="5" max="5" width="20.42578125" style="209" customWidth="1"/>
    <col min="6" max="6" width="18.7109375" style="209" customWidth="1"/>
    <col min="7" max="7" width="12.85546875" style="209" customWidth="1"/>
    <col min="8" max="27" width="9.5703125" style="209" customWidth="1"/>
    <col min="28" max="28" width="13.140625" style="209" customWidth="1"/>
    <col min="29" max="29" width="24.85546875" style="209" customWidth="1"/>
    <col min="30" max="30" width="9.140625" style="209"/>
    <col min="31" max="31" width="13.85546875" style="209" bestFit="1" customWidth="1"/>
    <col min="32" max="16384" width="9.140625" style="209"/>
  </cols>
  <sheetData>
    <row r="1" spans="1:29" ht="18.75" x14ac:dyDescent="0.25">
      <c r="AC1" s="4" t="s">
        <v>0</v>
      </c>
    </row>
    <row r="2" spans="1:29" ht="18.75" x14ac:dyDescent="0.3">
      <c r="AC2" s="5" t="s">
        <v>1</v>
      </c>
    </row>
    <row r="3" spans="1:29" ht="18.75" x14ac:dyDescent="0.3">
      <c r="AC3" s="5" t="s">
        <v>2</v>
      </c>
    </row>
    <row r="4" spans="1:29" ht="18.75" customHeight="1" x14ac:dyDescent="0.25">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row>
    <row r="5" spans="1:29" ht="18.75" x14ac:dyDescent="0.3">
      <c r="AC5" s="5"/>
    </row>
    <row r="6" spans="1:29" ht="18.75" x14ac:dyDescent="0.25">
      <c r="A6" s="315" t="s">
        <v>4</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315"/>
      <c r="AB6" s="315"/>
      <c r="AC6" s="315"/>
    </row>
    <row r="7" spans="1:29" ht="18.75" x14ac:dyDescent="0.25">
      <c r="A7" s="10"/>
      <c r="B7" s="10"/>
      <c r="C7" s="10"/>
      <c r="D7" s="10"/>
      <c r="E7" s="10"/>
      <c r="F7" s="10"/>
      <c r="G7" s="10"/>
      <c r="H7" s="10"/>
      <c r="I7" s="10"/>
      <c r="J7" s="227"/>
      <c r="K7" s="227"/>
      <c r="L7" s="227"/>
      <c r="M7" s="227"/>
      <c r="N7" s="227"/>
      <c r="O7" s="227"/>
      <c r="P7" s="227"/>
      <c r="Q7" s="227"/>
      <c r="R7" s="227"/>
      <c r="S7" s="227"/>
      <c r="T7" s="227"/>
      <c r="U7" s="227"/>
      <c r="V7" s="227"/>
      <c r="W7" s="227"/>
      <c r="X7" s="227"/>
      <c r="Y7" s="227"/>
      <c r="Z7" s="227"/>
      <c r="AA7" s="227"/>
      <c r="AB7" s="227"/>
      <c r="AC7" s="227"/>
    </row>
    <row r="8" spans="1:29" x14ac:dyDescent="0.25">
      <c r="A8" s="324" t="str">
        <f>'1. паспорт местоположение'!A9:C9</f>
        <v>Акционерное общество "Россети Янтарь" ДЗО  ПАО "Россети"</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row>
    <row r="9" spans="1:29"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227"/>
      <c r="K10" s="227"/>
      <c r="L10" s="227"/>
      <c r="M10" s="227"/>
      <c r="N10" s="227"/>
      <c r="O10" s="227"/>
      <c r="P10" s="227"/>
      <c r="Q10" s="227"/>
      <c r="R10" s="227"/>
      <c r="S10" s="227"/>
      <c r="T10" s="227"/>
      <c r="U10" s="227"/>
      <c r="V10" s="227"/>
      <c r="W10" s="227"/>
      <c r="X10" s="227"/>
      <c r="Y10" s="227"/>
      <c r="Z10" s="227"/>
      <c r="AA10" s="227"/>
      <c r="AB10" s="227"/>
      <c r="AC10" s="227"/>
    </row>
    <row r="11" spans="1:29" x14ac:dyDescent="0.25">
      <c r="A11" s="324" t="str">
        <f>'1. паспорт местоположение'!A12:C12</f>
        <v>O_22-1256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row>
    <row r="12" spans="1:29" x14ac:dyDescent="0.25">
      <c r="A12" s="317" t="s">
        <v>8</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60"/>
      <c r="B13" s="60"/>
      <c r="C13" s="60"/>
      <c r="D13" s="60"/>
      <c r="E13" s="60"/>
      <c r="F13" s="60"/>
      <c r="G13" s="60"/>
      <c r="H13" s="60"/>
      <c r="I13" s="60"/>
      <c r="J13" s="228"/>
      <c r="K13" s="228"/>
      <c r="L13" s="228"/>
      <c r="M13" s="228"/>
      <c r="N13" s="228"/>
      <c r="O13" s="228"/>
      <c r="P13" s="228"/>
      <c r="Q13" s="228"/>
      <c r="R13" s="228"/>
      <c r="S13" s="228"/>
      <c r="T13" s="228"/>
      <c r="U13" s="228"/>
      <c r="V13" s="228"/>
      <c r="W13" s="228"/>
      <c r="X13" s="228"/>
      <c r="Y13" s="228"/>
      <c r="Z13" s="228"/>
      <c r="AA13" s="228"/>
      <c r="AB13" s="228"/>
      <c r="AC13" s="228"/>
    </row>
    <row r="14" spans="1:29" x14ac:dyDescent="0.25">
      <c r="A14"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row>
    <row r="15" spans="1:29" ht="15.75" customHeight="1" x14ac:dyDescent="0.25">
      <c r="A15" s="317" t="s">
        <v>10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8" spans="1:32" x14ac:dyDescent="0.25">
      <c r="A18" s="384" t="s">
        <v>480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7" t="s">
        <v>481</v>
      </c>
      <c r="B20" s="377" t="s">
        <v>482</v>
      </c>
      <c r="C20" s="375" t="s">
        <v>483</v>
      </c>
      <c r="D20" s="375"/>
      <c r="E20" s="376" t="s">
        <v>484</v>
      </c>
      <c r="F20" s="376"/>
      <c r="G20" s="385" t="s">
        <v>485</v>
      </c>
      <c r="H20" s="389" t="s">
        <v>486</v>
      </c>
      <c r="I20" s="390"/>
      <c r="J20" s="390"/>
      <c r="K20" s="390"/>
      <c r="L20" s="389" t="s">
        <v>487</v>
      </c>
      <c r="M20" s="390"/>
      <c r="N20" s="390"/>
      <c r="O20" s="390"/>
      <c r="P20" s="389" t="s">
        <v>488</v>
      </c>
      <c r="Q20" s="390"/>
      <c r="R20" s="390"/>
      <c r="S20" s="390"/>
      <c r="T20" s="389" t="s">
        <v>489</v>
      </c>
      <c r="U20" s="390"/>
      <c r="V20" s="390"/>
      <c r="W20" s="390"/>
      <c r="X20" s="389" t="s">
        <v>490</v>
      </c>
      <c r="Y20" s="390"/>
      <c r="Z20" s="390"/>
      <c r="AA20" s="390"/>
      <c r="AB20" s="388" t="s">
        <v>491</v>
      </c>
      <c r="AC20" s="388"/>
      <c r="AD20" s="229"/>
      <c r="AE20" s="229"/>
      <c r="AF20" s="229"/>
    </row>
    <row r="21" spans="1:32" ht="99.75" customHeight="1" x14ac:dyDescent="0.25">
      <c r="A21" s="378"/>
      <c r="B21" s="378"/>
      <c r="C21" s="375"/>
      <c r="D21" s="375"/>
      <c r="E21" s="376"/>
      <c r="F21" s="376"/>
      <c r="G21" s="386"/>
      <c r="H21" s="375" t="s">
        <v>419</v>
      </c>
      <c r="I21" s="375"/>
      <c r="J21" s="375" t="s">
        <v>492</v>
      </c>
      <c r="K21" s="375"/>
      <c r="L21" s="375" t="s">
        <v>419</v>
      </c>
      <c r="M21" s="375"/>
      <c r="N21" s="375" t="s">
        <v>492</v>
      </c>
      <c r="O21" s="375"/>
      <c r="P21" s="375" t="s">
        <v>419</v>
      </c>
      <c r="Q21" s="375"/>
      <c r="R21" s="375" t="s">
        <v>492</v>
      </c>
      <c r="S21" s="375"/>
      <c r="T21" s="375" t="s">
        <v>419</v>
      </c>
      <c r="U21" s="375"/>
      <c r="V21" s="375" t="s">
        <v>492</v>
      </c>
      <c r="W21" s="375"/>
      <c r="X21" s="375" t="s">
        <v>419</v>
      </c>
      <c r="Y21" s="375"/>
      <c r="Z21" s="375" t="s">
        <v>492</v>
      </c>
      <c r="AA21" s="375"/>
      <c r="AB21" s="388"/>
      <c r="AC21" s="388"/>
    </row>
    <row r="22" spans="1:32" ht="89.25" customHeight="1" x14ac:dyDescent="0.25">
      <c r="A22" s="379"/>
      <c r="B22" s="379"/>
      <c r="C22" s="214" t="s">
        <v>419</v>
      </c>
      <c r="D22" s="214" t="s">
        <v>493</v>
      </c>
      <c r="E22" s="230" t="s">
        <v>494</v>
      </c>
      <c r="F22" s="230" t="s">
        <v>495</v>
      </c>
      <c r="G22" s="387"/>
      <c r="H22" s="231" t="s">
        <v>496</v>
      </c>
      <c r="I22" s="231" t="s">
        <v>497</v>
      </c>
      <c r="J22" s="231" t="s">
        <v>496</v>
      </c>
      <c r="K22" s="231" t="s">
        <v>497</v>
      </c>
      <c r="L22" s="231" t="s">
        <v>496</v>
      </c>
      <c r="M22" s="231" t="s">
        <v>497</v>
      </c>
      <c r="N22" s="231" t="s">
        <v>496</v>
      </c>
      <c r="O22" s="231" t="s">
        <v>497</v>
      </c>
      <c r="P22" s="231" t="s">
        <v>496</v>
      </c>
      <c r="Q22" s="231" t="s">
        <v>497</v>
      </c>
      <c r="R22" s="231" t="s">
        <v>496</v>
      </c>
      <c r="S22" s="231" t="s">
        <v>497</v>
      </c>
      <c r="T22" s="231" t="s">
        <v>496</v>
      </c>
      <c r="U22" s="231" t="s">
        <v>497</v>
      </c>
      <c r="V22" s="231" t="s">
        <v>496</v>
      </c>
      <c r="W22" s="231" t="s">
        <v>497</v>
      </c>
      <c r="X22" s="231" t="s">
        <v>496</v>
      </c>
      <c r="Y22" s="231" t="s">
        <v>497</v>
      </c>
      <c r="Z22" s="231" t="s">
        <v>496</v>
      </c>
      <c r="AA22" s="231" t="s">
        <v>497</v>
      </c>
      <c r="AB22" s="214" t="s">
        <v>419</v>
      </c>
      <c r="AC22" s="214" t="s">
        <v>492</v>
      </c>
    </row>
    <row r="23" spans="1:32" ht="19.5" customHeight="1" x14ac:dyDescent="0.25">
      <c r="A23" s="213">
        <v>1</v>
      </c>
      <c r="B23" s="213">
        <v>2</v>
      </c>
      <c r="C23" s="213">
        <v>3</v>
      </c>
      <c r="D23" s="213">
        <v>4</v>
      </c>
      <c r="E23" s="213">
        <v>5</v>
      </c>
      <c r="F23" s="213">
        <v>6</v>
      </c>
      <c r="G23" s="213">
        <v>7</v>
      </c>
      <c r="H23" s="213">
        <v>8</v>
      </c>
      <c r="I23" s="213">
        <v>9</v>
      </c>
      <c r="J23" s="213">
        <v>10</v>
      </c>
      <c r="K23" s="213">
        <v>11</v>
      </c>
      <c r="L23" s="213">
        <v>12</v>
      </c>
      <c r="M23" s="213">
        <v>13</v>
      </c>
      <c r="N23" s="213">
        <v>14</v>
      </c>
      <c r="O23" s="213">
        <v>15</v>
      </c>
      <c r="P23" s="213">
        <v>16</v>
      </c>
      <c r="Q23" s="213">
        <v>17</v>
      </c>
      <c r="R23" s="213">
        <v>18</v>
      </c>
      <c r="S23" s="213">
        <v>19</v>
      </c>
      <c r="T23" s="213">
        <v>20</v>
      </c>
      <c r="U23" s="213">
        <v>21</v>
      </c>
      <c r="V23" s="213">
        <v>22</v>
      </c>
      <c r="W23" s="213">
        <v>23</v>
      </c>
      <c r="X23" s="213">
        <v>24</v>
      </c>
      <c r="Y23" s="213">
        <v>25</v>
      </c>
      <c r="Z23" s="213">
        <v>26</v>
      </c>
      <c r="AA23" s="213">
        <v>27</v>
      </c>
      <c r="AB23" s="213">
        <v>28</v>
      </c>
      <c r="AC23" s="213">
        <v>29</v>
      </c>
    </row>
    <row r="24" spans="1:32" ht="47.25" customHeight="1" x14ac:dyDescent="0.25">
      <c r="A24" s="232">
        <v>1</v>
      </c>
      <c r="B24" s="233" t="s">
        <v>498</v>
      </c>
      <c r="C24" s="234">
        <f>SUM(C25:C29)</f>
        <v>203.75242108</v>
      </c>
      <c r="D24" s="234">
        <f>SUM(D25:D29)</f>
        <v>0</v>
      </c>
      <c r="E24" s="234">
        <f t="shared" ref="E24:AA24" si="0">SUM(E25:E29)</f>
        <v>203.75242108</v>
      </c>
      <c r="F24" s="234">
        <f t="shared" si="0"/>
        <v>46.010633660000025</v>
      </c>
      <c r="G24" s="234">
        <f t="shared" si="0"/>
        <v>0</v>
      </c>
      <c r="H24" s="234">
        <f t="shared" si="0"/>
        <v>203.75242108</v>
      </c>
      <c r="I24" s="234">
        <f>SUM(I25:I29)</f>
        <v>0</v>
      </c>
      <c r="J24" s="234">
        <f t="shared" si="0"/>
        <v>157.74178741999998</v>
      </c>
      <c r="K24" s="234">
        <f>SUM(K25:K29)</f>
        <v>0</v>
      </c>
      <c r="L24" s="234">
        <f t="shared" si="0"/>
        <v>0</v>
      </c>
      <c r="M24" s="234">
        <f t="shared" si="0"/>
        <v>0</v>
      </c>
      <c r="N24" s="234">
        <f t="shared" si="0"/>
        <v>47.606135549999998</v>
      </c>
      <c r="O24" s="234">
        <f t="shared" si="0"/>
        <v>0</v>
      </c>
      <c r="P24" s="234">
        <f t="shared" si="0"/>
        <v>0</v>
      </c>
      <c r="Q24" s="234">
        <f t="shared" si="0"/>
        <v>0</v>
      </c>
      <c r="R24" s="234">
        <f t="shared" si="0"/>
        <v>0</v>
      </c>
      <c r="S24" s="234">
        <f t="shared" si="0"/>
        <v>0</v>
      </c>
      <c r="T24" s="234">
        <f t="shared" si="0"/>
        <v>0</v>
      </c>
      <c r="U24" s="234">
        <f t="shared" si="0"/>
        <v>0</v>
      </c>
      <c r="V24" s="234">
        <f t="shared" si="0"/>
        <v>0</v>
      </c>
      <c r="W24" s="234">
        <f t="shared" si="0"/>
        <v>0</v>
      </c>
      <c r="X24" s="234">
        <f t="shared" si="0"/>
        <v>0</v>
      </c>
      <c r="Y24" s="234">
        <f t="shared" si="0"/>
        <v>0</v>
      </c>
      <c r="Z24" s="234">
        <f t="shared" si="0"/>
        <v>0</v>
      </c>
      <c r="AA24" s="234">
        <f t="shared" si="0"/>
        <v>0</v>
      </c>
      <c r="AB24" s="234">
        <f t="shared" ref="AB24:AB64" si="1">H24+L24+P24+T24+X24</f>
        <v>203.75242108</v>
      </c>
      <c r="AC24" s="235">
        <f t="shared" ref="AC24:AC64" si="2">J24+N24+R24+V24+Z24</f>
        <v>205.34792296999998</v>
      </c>
      <c r="AD24" s="236"/>
    </row>
    <row r="25" spans="1:32" ht="24" customHeight="1" x14ac:dyDescent="0.25">
      <c r="A25" s="237" t="s">
        <v>499</v>
      </c>
      <c r="B25" s="238" t="s">
        <v>500</v>
      </c>
      <c r="C25" s="234">
        <v>0</v>
      </c>
      <c r="D25" s="234">
        <v>0</v>
      </c>
      <c r="E25" s="234">
        <f t="shared" ref="E25:E29" si="3">C25</f>
        <v>0</v>
      </c>
      <c r="F25" s="234">
        <f t="shared" ref="F25:F64" si="4">E25-G25-J25</f>
        <v>0</v>
      </c>
      <c r="G25" s="239">
        <v>0</v>
      </c>
      <c r="H25" s="239">
        <v>0</v>
      </c>
      <c r="I25" s="239">
        <v>0</v>
      </c>
      <c r="J25" s="239">
        <v>0</v>
      </c>
      <c r="K25" s="239">
        <v>0</v>
      </c>
      <c r="L25" s="239">
        <v>0</v>
      </c>
      <c r="M25" s="239">
        <v>0</v>
      </c>
      <c r="N25" s="239">
        <v>0</v>
      </c>
      <c r="O25" s="239">
        <v>0</v>
      </c>
      <c r="P25" s="239">
        <v>0</v>
      </c>
      <c r="Q25" s="239">
        <v>0</v>
      </c>
      <c r="R25" s="239">
        <v>0</v>
      </c>
      <c r="S25" s="239">
        <v>0</v>
      </c>
      <c r="T25" s="239">
        <v>0</v>
      </c>
      <c r="U25" s="239">
        <v>0</v>
      </c>
      <c r="V25" s="239">
        <v>0</v>
      </c>
      <c r="W25" s="239">
        <v>0</v>
      </c>
      <c r="X25" s="239">
        <v>0</v>
      </c>
      <c r="Y25" s="239">
        <v>0</v>
      </c>
      <c r="Z25" s="239">
        <v>0</v>
      </c>
      <c r="AA25" s="239">
        <v>0</v>
      </c>
      <c r="AB25" s="234">
        <f t="shared" si="1"/>
        <v>0</v>
      </c>
      <c r="AC25" s="235">
        <f t="shared" si="2"/>
        <v>0</v>
      </c>
    </row>
    <row r="26" spans="1:32" x14ac:dyDescent="0.25">
      <c r="A26" s="237" t="s">
        <v>501</v>
      </c>
      <c r="B26" s="238" t="s">
        <v>502</v>
      </c>
      <c r="C26" s="234">
        <v>0</v>
      </c>
      <c r="D26" s="234">
        <v>0</v>
      </c>
      <c r="E26" s="234">
        <f t="shared" si="3"/>
        <v>0</v>
      </c>
      <c r="F26" s="234">
        <f t="shared" si="4"/>
        <v>0</v>
      </c>
      <c r="G26" s="239">
        <v>0</v>
      </c>
      <c r="H26" s="239">
        <v>0</v>
      </c>
      <c r="I26" s="239">
        <v>0</v>
      </c>
      <c r="J26" s="239">
        <v>0</v>
      </c>
      <c r="K26" s="239">
        <v>0</v>
      </c>
      <c r="L26" s="239">
        <v>0</v>
      </c>
      <c r="M26" s="239">
        <v>0</v>
      </c>
      <c r="N26" s="239">
        <v>0</v>
      </c>
      <c r="O26" s="239">
        <v>0</v>
      </c>
      <c r="P26" s="239">
        <v>0</v>
      </c>
      <c r="Q26" s="239">
        <v>0</v>
      </c>
      <c r="R26" s="239">
        <v>0</v>
      </c>
      <c r="S26" s="239">
        <v>0</v>
      </c>
      <c r="T26" s="239">
        <v>0</v>
      </c>
      <c r="U26" s="239">
        <v>0</v>
      </c>
      <c r="V26" s="239">
        <v>0</v>
      </c>
      <c r="W26" s="239">
        <v>0</v>
      </c>
      <c r="X26" s="239">
        <v>0</v>
      </c>
      <c r="Y26" s="239">
        <v>0</v>
      </c>
      <c r="Z26" s="239">
        <v>0</v>
      </c>
      <c r="AA26" s="239">
        <v>0</v>
      </c>
      <c r="AB26" s="234">
        <f t="shared" si="1"/>
        <v>0</v>
      </c>
      <c r="AC26" s="235">
        <f t="shared" si="2"/>
        <v>0</v>
      </c>
    </row>
    <row r="27" spans="1:32" ht="31.5" x14ac:dyDescent="0.25">
      <c r="A27" s="237" t="s">
        <v>503</v>
      </c>
      <c r="B27" s="238" t="s">
        <v>504</v>
      </c>
      <c r="C27" s="234">
        <v>0</v>
      </c>
      <c r="D27" s="234">
        <v>0</v>
      </c>
      <c r="E27" s="234">
        <f t="shared" si="3"/>
        <v>0</v>
      </c>
      <c r="F27" s="234">
        <f t="shared" si="4"/>
        <v>0</v>
      </c>
      <c r="G27" s="239">
        <v>0</v>
      </c>
      <c r="H27" s="239">
        <v>0</v>
      </c>
      <c r="I27" s="239">
        <v>0</v>
      </c>
      <c r="J27" s="239">
        <v>0</v>
      </c>
      <c r="K27" s="239">
        <v>0</v>
      </c>
      <c r="L27" s="239">
        <v>0</v>
      </c>
      <c r="M27" s="239">
        <v>0</v>
      </c>
      <c r="N27" s="239">
        <v>0</v>
      </c>
      <c r="O27" s="239">
        <v>0</v>
      </c>
      <c r="P27" s="239">
        <v>0</v>
      </c>
      <c r="Q27" s="239">
        <v>0</v>
      </c>
      <c r="R27" s="239">
        <v>0</v>
      </c>
      <c r="S27" s="239">
        <v>0</v>
      </c>
      <c r="T27" s="239">
        <v>0</v>
      </c>
      <c r="U27" s="239">
        <v>0</v>
      </c>
      <c r="V27" s="239">
        <v>0</v>
      </c>
      <c r="W27" s="239">
        <v>0</v>
      </c>
      <c r="X27" s="239">
        <v>0</v>
      </c>
      <c r="Y27" s="239">
        <v>0</v>
      </c>
      <c r="Z27" s="239">
        <v>0</v>
      </c>
      <c r="AA27" s="239">
        <v>0</v>
      </c>
      <c r="AB27" s="234">
        <f t="shared" si="1"/>
        <v>0</v>
      </c>
      <c r="AC27" s="235">
        <f t="shared" si="2"/>
        <v>0</v>
      </c>
    </row>
    <row r="28" spans="1:32" x14ac:dyDescent="0.25">
      <c r="A28" s="237" t="s">
        <v>505</v>
      </c>
      <c r="B28" s="238" t="s">
        <v>506</v>
      </c>
      <c r="C28" s="234">
        <v>0</v>
      </c>
      <c r="D28" s="234">
        <v>0</v>
      </c>
      <c r="E28" s="234">
        <f t="shared" si="3"/>
        <v>0</v>
      </c>
      <c r="F28" s="234">
        <f t="shared" si="4"/>
        <v>0</v>
      </c>
      <c r="G28" s="239">
        <v>0</v>
      </c>
      <c r="H28" s="239">
        <v>0</v>
      </c>
      <c r="I28" s="239">
        <v>0</v>
      </c>
      <c r="J28" s="239">
        <v>0</v>
      </c>
      <c r="K28" s="239">
        <v>0</v>
      </c>
      <c r="L28" s="239">
        <v>0</v>
      </c>
      <c r="M28" s="239">
        <v>0</v>
      </c>
      <c r="N28" s="239">
        <v>0</v>
      </c>
      <c r="O28" s="239">
        <v>0</v>
      </c>
      <c r="P28" s="239">
        <v>0</v>
      </c>
      <c r="Q28" s="239">
        <v>0</v>
      </c>
      <c r="R28" s="239">
        <v>0</v>
      </c>
      <c r="S28" s="239">
        <v>0</v>
      </c>
      <c r="T28" s="239">
        <v>0</v>
      </c>
      <c r="U28" s="239">
        <v>0</v>
      </c>
      <c r="V28" s="239">
        <v>0</v>
      </c>
      <c r="W28" s="239">
        <v>0</v>
      </c>
      <c r="X28" s="239">
        <v>0</v>
      </c>
      <c r="Y28" s="239">
        <v>0</v>
      </c>
      <c r="Z28" s="239">
        <v>0</v>
      </c>
      <c r="AA28" s="239">
        <v>0</v>
      </c>
      <c r="AB28" s="234">
        <f t="shared" si="1"/>
        <v>0</v>
      </c>
      <c r="AC28" s="235">
        <f t="shared" si="2"/>
        <v>0</v>
      </c>
    </row>
    <row r="29" spans="1:32" x14ac:dyDescent="0.25">
      <c r="A29" s="237" t="s">
        <v>507</v>
      </c>
      <c r="B29" s="240" t="s">
        <v>508</v>
      </c>
      <c r="C29" s="234">
        <v>203.75242108</v>
      </c>
      <c r="D29" s="234">
        <v>0</v>
      </c>
      <c r="E29" s="234">
        <f t="shared" si="3"/>
        <v>203.75242108</v>
      </c>
      <c r="F29" s="234">
        <f t="shared" si="4"/>
        <v>46.010633660000025</v>
      </c>
      <c r="G29" s="239">
        <v>0</v>
      </c>
      <c r="H29" s="239">
        <v>203.75242108</v>
      </c>
      <c r="I29" s="239">
        <v>0</v>
      </c>
      <c r="J29" s="239">
        <v>157.74178741999998</v>
      </c>
      <c r="K29" s="239">
        <v>0</v>
      </c>
      <c r="L29" s="239">
        <v>0</v>
      </c>
      <c r="M29" s="239">
        <v>0</v>
      </c>
      <c r="N29" s="239">
        <v>47.606135549999998</v>
      </c>
      <c r="O29" s="239">
        <v>0</v>
      </c>
      <c r="P29" s="239">
        <v>0</v>
      </c>
      <c r="Q29" s="239">
        <v>0</v>
      </c>
      <c r="R29" s="239">
        <v>0</v>
      </c>
      <c r="S29" s="239">
        <v>0</v>
      </c>
      <c r="T29" s="239">
        <v>0</v>
      </c>
      <c r="U29" s="239">
        <v>0</v>
      </c>
      <c r="V29" s="239">
        <v>0</v>
      </c>
      <c r="W29" s="239">
        <v>0</v>
      </c>
      <c r="X29" s="239">
        <v>0</v>
      </c>
      <c r="Y29" s="239">
        <v>0</v>
      </c>
      <c r="Z29" s="239">
        <v>0</v>
      </c>
      <c r="AA29" s="239">
        <v>0</v>
      </c>
      <c r="AB29" s="234">
        <f t="shared" si="1"/>
        <v>203.75242108</v>
      </c>
      <c r="AC29" s="235">
        <f t="shared" si="2"/>
        <v>205.34792296999998</v>
      </c>
    </row>
    <row r="30" spans="1:32" ht="47.25" x14ac:dyDescent="0.25">
      <c r="A30" s="232" t="s">
        <v>18</v>
      </c>
      <c r="B30" s="233" t="s">
        <v>509</v>
      </c>
      <c r="C30" s="234">
        <f t="shared" ref="C30:D30" si="5">SUM(C31:C34)</f>
        <v>169.79368423</v>
      </c>
      <c r="D30" s="234">
        <f t="shared" si="5"/>
        <v>0</v>
      </c>
      <c r="E30" s="234">
        <f t="shared" ref="E30:AA30" si="6">SUM(E31:E34)</f>
        <v>169.79368423</v>
      </c>
      <c r="F30" s="234">
        <f t="shared" si="4"/>
        <v>-5.9972734899999978</v>
      </c>
      <c r="G30" s="234">
        <f t="shared" si="6"/>
        <v>0</v>
      </c>
      <c r="H30" s="234">
        <f t="shared" si="6"/>
        <v>169.79368423</v>
      </c>
      <c r="I30" s="234">
        <f>SUM(I31:I34)</f>
        <v>0</v>
      </c>
      <c r="J30" s="234">
        <f t="shared" si="6"/>
        <v>175.79095771999999</v>
      </c>
      <c r="K30" s="234">
        <f>SUM(K31:K34)</f>
        <v>0</v>
      </c>
      <c r="L30" s="234">
        <f t="shared" si="6"/>
        <v>0</v>
      </c>
      <c r="M30" s="234">
        <f t="shared" si="6"/>
        <v>0</v>
      </c>
      <c r="N30" s="234">
        <f t="shared" si="6"/>
        <v>0</v>
      </c>
      <c r="O30" s="234">
        <f t="shared" si="6"/>
        <v>0</v>
      </c>
      <c r="P30" s="234">
        <f t="shared" si="6"/>
        <v>0</v>
      </c>
      <c r="Q30" s="234">
        <f t="shared" si="6"/>
        <v>0</v>
      </c>
      <c r="R30" s="234">
        <f t="shared" si="6"/>
        <v>0</v>
      </c>
      <c r="S30" s="234">
        <f t="shared" si="6"/>
        <v>0</v>
      </c>
      <c r="T30" s="234">
        <f t="shared" si="6"/>
        <v>0</v>
      </c>
      <c r="U30" s="234">
        <f t="shared" si="6"/>
        <v>0</v>
      </c>
      <c r="V30" s="234">
        <f t="shared" si="6"/>
        <v>0</v>
      </c>
      <c r="W30" s="234">
        <f t="shared" si="6"/>
        <v>0</v>
      </c>
      <c r="X30" s="234">
        <f t="shared" si="6"/>
        <v>0</v>
      </c>
      <c r="Y30" s="234">
        <f t="shared" si="6"/>
        <v>0</v>
      </c>
      <c r="Z30" s="234">
        <f t="shared" si="6"/>
        <v>0</v>
      </c>
      <c r="AA30" s="234">
        <f t="shared" si="6"/>
        <v>0</v>
      </c>
      <c r="AB30" s="234">
        <f t="shared" si="1"/>
        <v>169.79368423</v>
      </c>
      <c r="AC30" s="235">
        <f t="shared" si="2"/>
        <v>175.79095771999999</v>
      </c>
      <c r="AE30" s="241"/>
    </row>
    <row r="31" spans="1:32" x14ac:dyDescent="0.25">
      <c r="A31" s="232" t="s">
        <v>510</v>
      </c>
      <c r="B31" s="238" t="s">
        <v>511</v>
      </c>
      <c r="C31" s="234">
        <v>4.6580065700000004</v>
      </c>
      <c r="D31" s="234">
        <v>0</v>
      </c>
      <c r="E31" s="234">
        <f t="shared" ref="E31:E64" si="7">C31</f>
        <v>4.6580065700000004</v>
      </c>
      <c r="F31" s="234">
        <f t="shared" si="4"/>
        <v>-4.3814010199999993</v>
      </c>
      <c r="G31" s="239">
        <v>0</v>
      </c>
      <c r="H31" s="239">
        <v>4.6580065700000004</v>
      </c>
      <c r="I31" s="239">
        <v>0</v>
      </c>
      <c r="J31" s="239">
        <v>9.0394075899999997</v>
      </c>
      <c r="K31" s="239">
        <v>0</v>
      </c>
      <c r="L31" s="239">
        <v>0</v>
      </c>
      <c r="M31" s="239">
        <v>0</v>
      </c>
      <c r="N31" s="239">
        <v>0</v>
      </c>
      <c r="O31" s="239">
        <v>0</v>
      </c>
      <c r="P31" s="239">
        <v>0</v>
      </c>
      <c r="Q31" s="239">
        <v>0</v>
      </c>
      <c r="R31" s="239">
        <v>0</v>
      </c>
      <c r="S31" s="239">
        <v>0</v>
      </c>
      <c r="T31" s="239">
        <v>0</v>
      </c>
      <c r="U31" s="239">
        <v>0</v>
      </c>
      <c r="V31" s="239">
        <v>0</v>
      </c>
      <c r="W31" s="239">
        <v>0</v>
      </c>
      <c r="X31" s="239">
        <v>0</v>
      </c>
      <c r="Y31" s="239">
        <v>0</v>
      </c>
      <c r="Z31" s="239">
        <v>0</v>
      </c>
      <c r="AA31" s="239">
        <v>0</v>
      </c>
      <c r="AB31" s="234">
        <f t="shared" si="1"/>
        <v>4.6580065700000004</v>
      </c>
      <c r="AC31" s="235">
        <f t="shared" si="2"/>
        <v>9.0394075899999997</v>
      </c>
    </row>
    <row r="32" spans="1:32" ht="31.5" x14ac:dyDescent="0.25">
      <c r="A32" s="232" t="s">
        <v>512</v>
      </c>
      <c r="B32" s="238" t="s">
        <v>513</v>
      </c>
      <c r="C32" s="234">
        <v>154.32550766</v>
      </c>
      <c r="D32" s="234">
        <v>0</v>
      </c>
      <c r="E32" s="234">
        <f t="shared" si="7"/>
        <v>154.32550766</v>
      </c>
      <c r="F32" s="234">
        <f t="shared" si="4"/>
        <v>-9.8979675900000075</v>
      </c>
      <c r="G32" s="239">
        <v>0</v>
      </c>
      <c r="H32" s="239">
        <v>154.32550766</v>
      </c>
      <c r="I32" s="239">
        <v>0</v>
      </c>
      <c r="J32" s="239">
        <v>164.22347525000001</v>
      </c>
      <c r="K32" s="239">
        <v>0</v>
      </c>
      <c r="L32" s="239">
        <v>0</v>
      </c>
      <c r="M32" s="239">
        <v>0</v>
      </c>
      <c r="N32" s="239">
        <v>0</v>
      </c>
      <c r="O32" s="239">
        <v>0</v>
      </c>
      <c r="P32" s="239">
        <v>0</v>
      </c>
      <c r="Q32" s="239">
        <v>0</v>
      </c>
      <c r="R32" s="239">
        <v>0</v>
      </c>
      <c r="S32" s="239">
        <v>0</v>
      </c>
      <c r="T32" s="239">
        <v>0</v>
      </c>
      <c r="U32" s="239">
        <v>0</v>
      </c>
      <c r="V32" s="239">
        <v>0</v>
      </c>
      <c r="W32" s="239">
        <v>0</v>
      </c>
      <c r="X32" s="239">
        <v>0</v>
      </c>
      <c r="Y32" s="239">
        <v>0</v>
      </c>
      <c r="Z32" s="239">
        <v>0</v>
      </c>
      <c r="AA32" s="239">
        <v>0</v>
      </c>
      <c r="AB32" s="234">
        <f t="shared" si="1"/>
        <v>154.32550766</v>
      </c>
      <c r="AC32" s="235">
        <f t="shared" si="2"/>
        <v>164.22347525000001</v>
      </c>
    </row>
    <row r="33" spans="1:29" x14ac:dyDescent="0.25">
      <c r="A33" s="232" t="s">
        <v>514</v>
      </c>
      <c r="B33" s="238" t="s">
        <v>515</v>
      </c>
      <c r="C33" s="234">
        <v>0</v>
      </c>
      <c r="D33" s="234">
        <v>0</v>
      </c>
      <c r="E33" s="234">
        <f t="shared" si="7"/>
        <v>0</v>
      </c>
      <c r="F33" s="234">
        <f t="shared" si="4"/>
        <v>0</v>
      </c>
      <c r="G33" s="239">
        <v>0</v>
      </c>
      <c r="H33" s="239">
        <v>0</v>
      </c>
      <c r="I33" s="239">
        <v>0</v>
      </c>
      <c r="J33" s="239">
        <v>0</v>
      </c>
      <c r="K33" s="239">
        <v>0</v>
      </c>
      <c r="L33" s="239">
        <v>0</v>
      </c>
      <c r="M33" s="239">
        <v>0</v>
      </c>
      <c r="N33" s="239">
        <v>0</v>
      </c>
      <c r="O33" s="239">
        <v>0</v>
      </c>
      <c r="P33" s="239">
        <v>0</v>
      </c>
      <c r="Q33" s="239">
        <v>0</v>
      </c>
      <c r="R33" s="239">
        <v>0</v>
      </c>
      <c r="S33" s="239">
        <v>0</v>
      </c>
      <c r="T33" s="239">
        <v>0</v>
      </c>
      <c r="U33" s="239">
        <v>0</v>
      </c>
      <c r="V33" s="239">
        <v>0</v>
      </c>
      <c r="W33" s="239">
        <v>0</v>
      </c>
      <c r="X33" s="239">
        <v>0</v>
      </c>
      <c r="Y33" s="239">
        <v>0</v>
      </c>
      <c r="Z33" s="239">
        <v>0</v>
      </c>
      <c r="AA33" s="239">
        <v>0</v>
      </c>
      <c r="AB33" s="234">
        <f t="shared" si="1"/>
        <v>0</v>
      </c>
      <c r="AC33" s="235">
        <f t="shared" si="2"/>
        <v>0</v>
      </c>
    </row>
    <row r="34" spans="1:29" x14ac:dyDescent="0.25">
      <c r="A34" s="232" t="s">
        <v>516</v>
      </c>
      <c r="B34" s="238" t="s">
        <v>517</v>
      </c>
      <c r="C34" s="234">
        <v>10.810169999999999</v>
      </c>
      <c r="D34" s="234">
        <v>0</v>
      </c>
      <c r="E34" s="234">
        <f t="shared" si="7"/>
        <v>10.810169999999999</v>
      </c>
      <c r="F34" s="234">
        <f t="shared" si="4"/>
        <v>8.2820951199999993</v>
      </c>
      <c r="G34" s="239">
        <v>0</v>
      </c>
      <c r="H34" s="239">
        <v>10.810169999999999</v>
      </c>
      <c r="I34" s="239">
        <v>0</v>
      </c>
      <c r="J34" s="239">
        <v>2.5280748799999997</v>
      </c>
      <c r="K34" s="239">
        <v>0</v>
      </c>
      <c r="L34" s="239">
        <v>0</v>
      </c>
      <c r="M34" s="239">
        <v>0</v>
      </c>
      <c r="N34" s="239">
        <v>0</v>
      </c>
      <c r="O34" s="239">
        <v>0</v>
      </c>
      <c r="P34" s="239">
        <v>0</v>
      </c>
      <c r="Q34" s="239">
        <v>0</v>
      </c>
      <c r="R34" s="239">
        <v>0</v>
      </c>
      <c r="S34" s="239">
        <v>0</v>
      </c>
      <c r="T34" s="239">
        <v>0</v>
      </c>
      <c r="U34" s="239">
        <v>0</v>
      </c>
      <c r="V34" s="239">
        <v>0</v>
      </c>
      <c r="W34" s="239">
        <v>0</v>
      </c>
      <c r="X34" s="239">
        <v>0</v>
      </c>
      <c r="Y34" s="239">
        <v>0</v>
      </c>
      <c r="Z34" s="239">
        <v>0</v>
      </c>
      <c r="AA34" s="239">
        <v>0</v>
      </c>
      <c r="AB34" s="234">
        <f t="shared" si="1"/>
        <v>10.810169999999999</v>
      </c>
      <c r="AC34" s="235">
        <f t="shared" si="2"/>
        <v>2.5280748799999997</v>
      </c>
    </row>
    <row r="35" spans="1:29" ht="31.5" x14ac:dyDescent="0.25">
      <c r="A35" s="232" t="s">
        <v>21</v>
      </c>
      <c r="B35" s="233" t="s">
        <v>518</v>
      </c>
      <c r="C35" s="234">
        <v>0</v>
      </c>
      <c r="D35" s="234">
        <v>0</v>
      </c>
      <c r="E35" s="234">
        <f t="shared" si="7"/>
        <v>0</v>
      </c>
      <c r="F35" s="234">
        <f t="shared" si="4"/>
        <v>0</v>
      </c>
      <c r="G35" s="234">
        <v>0</v>
      </c>
      <c r="H35" s="234">
        <v>0</v>
      </c>
      <c r="I35" s="234">
        <v>0</v>
      </c>
      <c r="J35" s="234">
        <v>0</v>
      </c>
      <c r="K35" s="234">
        <v>0</v>
      </c>
      <c r="L35" s="234">
        <v>0</v>
      </c>
      <c r="M35" s="234">
        <v>0</v>
      </c>
      <c r="N35" s="234">
        <v>0</v>
      </c>
      <c r="O35" s="234">
        <v>0</v>
      </c>
      <c r="P35" s="234">
        <v>0</v>
      </c>
      <c r="Q35" s="234">
        <v>0</v>
      </c>
      <c r="R35" s="234">
        <v>0</v>
      </c>
      <c r="S35" s="234">
        <v>0</v>
      </c>
      <c r="T35" s="234">
        <v>0</v>
      </c>
      <c r="U35" s="234">
        <v>0</v>
      </c>
      <c r="V35" s="234">
        <v>0</v>
      </c>
      <c r="W35" s="234">
        <v>0</v>
      </c>
      <c r="X35" s="234">
        <v>0</v>
      </c>
      <c r="Y35" s="234">
        <v>0</v>
      </c>
      <c r="Z35" s="234">
        <v>0</v>
      </c>
      <c r="AA35" s="234">
        <v>0</v>
      </c>
      <c r="AB35" s="234">
        <f t="shared" si="1"/>
        <v>0</v>
      </c>
      <c r="AC35" s="235">
        <f t="shared" si="2"/>
        <v>0</v>
      </c>
    </row>
    <row r="36" spans="1:29" ht="31.5" x14ac:dyDescent="0.25">
      <c r="A36" s="237" t="s">
        <v>519</v>
      </c>
      <c r="B36" s="242" t="s">
        <v>520</v>
      </c>
      <c r="C36" s="243">
        <v>0</v>
      </c>
      <c r="D36" s="243">
        <v>0</v>
      </c>
      <c r="E36" s="243">
        <f t="shared" si="7"/>
        <v>0</v>
      </c>
      <c r="F36" s="234">
        <f t="shared" si="4"/>
        <v>0</v>
      </c>
      <c r="G36" s="239">
        <v>0</v>
      </c>
      <c r="H36" s="239">
        <v>0</v>
      </c>
      <c r="I36" s="239">
        <v>0</v>
      </c>
      <c r="J36" s="239">
        <v>0</v>
      </c>
      <c r="K36" s="239">
        <v>0</v>
      </c>
      <c r="L36" s="239">
        <v>0</v>
      </c>
      <c r="M36" s="239">
        <v>0</v>
      </c>
      <c r="N36" s="239">
        <v>0</v>
      </c>
      <c r="O36" s="239">
        <v>0</v>
      </c>
      <c r="P36" s="239">
        <v>0</v>
      </c>
      <c r="Q36" s="239">
        <v>0</v>
      </c>
      <c r="R36" s="239">
        <v>0</v>
      </c>
      <c r="S36" s="239">
        <v>0</v>
      </c>
      <c r="T36" s="239">
        <v>0</v>
      </c>
      <c r="U36" s="239">
        <v>0</v>
      </c>
      <c r="V36" s="239">
        <v>0</v>
      </c>
      <c r="W36" s="239">
        <v>0</v>
      </c>
      <c r="X36" s="239">
        <v>0</v>
      </c>
      <c r="Y36" s="239">
        <v>0</v>
      </c>
      <c r="Z36" s="239">
        <v>0</v>
      </c>
      <c r="AA36" s="239">
        <v>0</v>
      </c>
      <c r="AB36" s="234">
        <f t="shared" si="1"/>
        <v>0</v>
      </c>
      <c r="AC36" s="235">
        <f t="shared" si="2"/>
        <v>0</v>
      </c>
    </row>
    <row r="37" spans="1:29" x14ac:dyDescent="0.25">
      <c r="A37" s="237" t="s">
        <v>521</v>
      </c>
      <c r="B37" s="242" t="s">
        <v>522</v>
      </c>
      <c r="C37" s="243">
        <v>0</v>
      </c>
      <c r="D37" s="243">
        <v>0</v>
      </c>
      <c r="E37" s="243">
        <f t="shared" si="7"/>
        <v>0</v>
      </c>
      <c r="F37" s="234">
        <f t="shared" si="4"/>
        <v>0</v>
      </c>
      <c r="G37" s="239">
        <v>0</v>
      </c>
      <c r="H37" s="239">
        <v>0</v>
      </c>
      <c r="I37" s="239">
        <v>0</v>
      </c>
      <c r="J37" s="239">
        <v>0</v>
      </c>
      <c r="K37" s="239">
        <v>0</v>
      </c>
      <c r="L37" s="239">
        <v>0</v>
      </c>
      <c r="M37" s="239">
        <v>0</v>
      </c>
      <c r="N37" s="239">
        <v>0</v>
      </c>
      <c r="O37" s="239">
        <v>0</v>
      </c>
      <c r="P37" s="239">
        <v>0</v>
      </c>
      <c r="Q37" s="239">
        <v>0</v>
      </c>
      <c r="R37" s="239">
        <v>0</v>
      </c>
      <c r="S37" s="239">
        <v>0</v>
      </c>
      <c r="T37" s="239">
        <v>0</v>
      </c>
      <c r="U37" s="239">
        <v>0</v>
      </c>
      <c r="V37" s="239">
        <v>0</v>
      </c>
      <c r="W37" s="239">
        <v>0</v>
      </c>
      <c r="X37" s="239">
        <v>0</v>
      </c>
      <c r="Y37" s="239">
        <v>0</v>
      </c>
      <c r="Z37" s="239">
        <v>0</v>
      </c>
      <c r="AA37" s="239">
        <v>0</v>
      </c>
      <c r="AB37" s="234">
        <f t="shared" si="1"/>
        <v>0</v>
      </c>
      <c r="AC37" s="235">
        <f t="shared" si="2"/>
        <v>0</v>
      </c>
    </row>
    <row r="38" spans="1:29" x14ac:dyDescent="0.25">
      <c r="A38" s="237" t="s">
        <v>523</v>
      </c>
      <c r="B38" s="242" t="s">
        <v>524</v>
      </c>
      <c r="C38" s="243">
        <v>0</v>
      </c>
      <c r="D38" s="243">
        <v>0</v>
      </c>
      <c r="E38" s="243">
        <f t="shared" si="7"/>
        <v>0</v>
      </c>
      <c r="F38" s="234">
        <f t="shared" si="4"/>
        <v>0</v>
      </c>
      <c r="G38" s="239">
        <v>0</v>
      </c>
      <c r="H38" s="239">
        <v>0</v>
      </c>
      <c r="I38" s="239">
        <v>0</v>
      </c>
      <c r="J38" s="239">
        <v>0</v>
      </c>
      <c r="K38" s="239">
        <v>0</v>
      </c>
      <c r="L38" s="239">
        <v>0</v>
      </c>
      <c r="M38" s="239">
        <v>0</v>
      </c>
      <c r="N38" s="239">
        <v>0</v>
      </c>
      <c r="O38" s="239">
        <v>0</v>
      </c>
      <c r="P38" s="239">
        <v>0</v>
      </c>
      <c r="Q38" s="239">
        <v>0</v>
      </c>
      <c r="R38" s="239">
        <v>0</v>
      </c>
      <c r="S38" s="239">
        <v>0</v>
      </c>
      <c r="T38" s="239">
        <v>0</v>
      </c>
      <c r="U38" s="239">
        <v>0</v>
      </c>
      <c r="V38" s="239">
        <v>0</v>
      </c>
      <c r="W38" s="239">
        <v>0</v>
      </c>
      <c r="X38" s="239">
        <v>0</v>
      </c>
      <c r="Y38" s="239">
        <v>0</v>
      </c>
      <c r="Z38" s="239">
        <v>0</v>
      </c>
      <c r="AA38" s="239">
        <v>0</v>
      </c>
      <c r="AB38" s="234">
        <f t="shared" si="1"/>
        <v>0</v>
      </c>
      <c r="AC38" s="235">
        <f t="shared" si="2"/>
        <v>0</v>
      </c>
    </row>
    <row r="39" spans="1:29" ht="31.5" x14ac:dyDescent="0.25">
      <c r="A39" s="237" t="s">
        <v>525</v>
      </c>
      <c r="B39" s="238" t="s">
        <v>526</v>
      </c>
      <c r="C39" s="234">
        <v>0</v>
      </c>
      <c r="D39" s="234">
        <v>0</v>
      </c>
      <c r="E39" s="234">
        <f t="shared" si="7"/>
        <v>0</v>
      </c>
      <c r="F39" s="234">
        <f t="shared" si="4"/>
        <v>0</v>
      </c>
      <c r="G39" s="239">
        <v>0</v>
      </c>
      <c r="H39" s="239">
        <v>0</v>
      </c>
      <c r="I39" s="239">
        <v>0</v>
      </c>
      <c r="J39" s="239">
        <v>0</v>
      </c>
      <c r="K39" s="239">
        <v>0</v>
      </c>
      <c r="L39" s="239">
        <v>0</v>
      </c>
      <c r="M39" s="239">
        <v>0</v>
      </c>
      <c r="N39" s="239">
        <v>0</v>
      </c>
      <c r="O39" s="239">
        <v>0</v>
      </c>
      <c r="P39" s="239">
        <v>0</v>
      </c>
      <c r="Q39" s="239">
        <v>0</v>
      </c>
      <c r="R39" s="239">
        <v>0</v>
      </c>
      <c r="S39" s="239">
        <v>0</v>
      </c>
      <c r="T39" s="239">
        <v>0</v>
      </c>
      <c r="U39" s="239">
        <v>0</v>
      </c>
      <c r="V39" s="239">
        <v>0</v>
      </c>
      <c r="W39" s="239">
        <v>0</v>
      </c>
      <c r="X39" s="239">
        <v>0</v>
      </c>
      <c r="Y39" s="239">
        <v>0</v>
      </c>
      <c r="Z39" s="239">
        <v>0</v>
      </c>
      <c r="AA39" s="239">
        <v>0</v>
      </c>
      <c r="AB39" s="234">
        <f t="shared" si="1"/>
        <v>0</v>
      </c>
      <c r="AC39" s="235">
        <f t="shared" si="2"/>
        <v>0</v>
      </c>
    </row>
    <row r="40" spans="1:29" ht="31.5" x14ac:dyDescent="0.25">
      <c r="A40" s="237" t="s">
        <v>527</v>
      </c>
      <c r="B40" s="238" t="s">
        <v>528</v>
      </c>
      <c r="C40" s="234">
        <v>0</v>
      </c>
      <c r="D40" s="234">
        <v>0</v>
      </c>
      <c r="E40" s="234">
        <f t="shared" si="7"/>
        <v>0</v>
      </c>
      <c r="F40" s="234">
        <f t="shared" si="4"/>
        <v>0</v>
      </c>
      <c r="G40" s="239">
        <v>0</v>
      </c>
      <c r="H40" s="239">
        <v>0</v>
      </c>
      <c r="I40" s="239">
        <v>0</v>
      </c>
      <c r="J40" s="239">
        <v>0</v>
      </c>
      <c r="K40" s="239">
        <v>0</v>
      </c>
      <c r="L40" s="239">
        <v>0</v>
      </c>
      <c r="M40" s="239">
        <v>0</v>
      </c>
      <c r="N40" s="239">
        <v>0</v>
      </c>
      <c r="O40" s="239">
        <v>0</v>
      </c>
      <c r="P40" s="239">
        <v>0</v>
      </c>
      <c r="Q40" s="239">
        <v>0</v>
      </c>
      <c r="R40" s="239">
        <v>0</v>
      </c>
      <c r="S40" s="239">
        <v>0</v>
      </c>
      <c r="T40" s="239">
        <v>0</v>
      </c>
      <c r="U40" s="239">
        <v>0</v>
      </c>
      <c r="V40" s="239">
        <v>0</v>
      </c>
      <c r="W40" s="239">
        <v>0</v>
      </c>
      <c r="X40" s="239">
        <v>0</v>
      </c>
      <c r="Y40" s="239">
        <v>0</v>
      </c>
      <c r="Z40" s="239">
        <v>0</v>
      </c>
      <c r="AA40" s="239">
        <v>0</v>
      </c>
      <c r="AB40" s="234">
        <f t="shared" si="1"/>
        <v>0</v>
      </c>
      <c r="AC40" s="235">
        <f t="shared" si="2"/>
        <v>0</v>
      </c>
    </row>
    <row r="41" spans="1:29" x14ac:dyDescent="0.25">
      <c r="A41" s="237" t="s">
        <v>529</v>
      </c>
      <c r="B41" s="238" t="s">
        <v>530</v>
      </c>
      <c r="C41" s="234">
        <v>9.5100000000000016</v>
      </c>
      <c r="D41" s="234">
        <v>0</v>
      </c>
      <c r="E41" s="234">
        <f t="shared" si="7"/>
        <v>9.5100000000000016</v>
      </c>
      <c r="F41" s="234">
        <f t="shared" si="4"/>
        <v>1.9999999999988916E-3</v>
      </c>
      <c r="G41" s="239">
        <v>0</v>
      </c>
      <c r="H41" s="239">
        <v>9.5100000000000016</v>
      </c>
      <c r="I41" s="239">
        <v>0</v>
      </c>
      <c r="J41" s="239">
        <v>9.5080000000000027</v>
      </c>
      <c r="K41" s="239">
        <v>0</v>
      </c>
      <c r="L41" s="239">
        <v>0</v>
      </c>
      <c r="M41" s="239">
        <v>0</v>
      </c>
      <c r="N41" s="239">
        <v>0</v>
      </c>
      <c r="O41" s="239">
        <v>0</v>
      </c>
      <c r="P41" s="239">
        <v>0</v>
      </c>
      <c r="Q41" s="239">
        <v>0</v>
      </c>
      <c r="R41" s="239">
        <v>0</v>
      </c>
      <c r="S41" s="239">
        <v>0</v>
      </c>
      <c r="T41" s="239">
        <v>0</v>
      </c>
      <c r="U41" s="239">
        <v>0</v>
      </c>
      <c r="V41" s="239">
        <v>0</v>
      </c>
      <c r="W41" s="239">
        <v>0</v>
      </c>
      <c r="X41" s="239">
        <v>0</v>
      </c>
      <c r="Y41" s="239">
        <v>0</v>
      </c>
      <c r="Z41" s="239">
        <v>0</v>
      </c>
      <c r="AA41" s="239">
        <v>0</v>
      </c>
      <c r="AB41" s="234">
        <f t="shared" si="1"/>
        <v>9.5100000000000016</v>
      </c>
      <c r="AC41" s="235">
        <f t="shared" si="2"/>
        <v>9.5080000000000027</v>
      </c>
    </row>
    <row r="42" spans="1:29" ht="18.75" x14ac:dyDescent="0.25">
      <c r="A42" s="237" t="s">
        <v>531</v>
      </c>
      <c r="B42" s="242" t="s">
        <v>532</v>
      </c>
      <c r="C42" s="243">
        <v>0</v>
      </c>
      <c r="D42" s="243">
        <v>0</v>
      </c>
      <c r="E42" s="243">
        <f t="shared" si="7"/>
        <v>0</v>
      </c>
      <c r="F42" s="234">
        <f t="shared" si="4"/>
        <v>0</v>
      </c>
      <c r="G42" s="239">
        <v>0</v>
      </c>
      <c r="H42" s="239">
        <v>0</v>
      </c>
      <c r="I42" s="239">
        <v>0</v>
      </c>
      <c r="J42" s="239">
        <v>0</v>
      </c>
      <c r="K42" s="239">
        <v>0</v>
      </c>
      <c r="L42" s="239">
        <v>0</v>
      </c>
      <c r="M42" s="239">
        <v>0</v>
      </c>
      <c r="N42" s="239">
        <v>0</v>
      </c>
      <c r="O42" s="239">
        <v>0</v>
      </c>
      <c r="P42" s="239">
        <v>0</v>
      </c>
      <c r="Q42" s="239">
        <v>0</v>
      </c>
      <c r="R42" s="239">
        <v>0</v>
      </c>
      <c r="S42" s="239">
        <v>0</v>
      </c>
      <c r="T42" s="239">
        <v>0</v>
      </c>
      <c r="U42" s="239">
        <v>0</v>
      </c>
      <c r="V42" s="239">
        <v>0</v>
      </c>
      <c r="W42" s="239">
        <v>0</v>
      </c>
      <c r="X42" s="239">
        <v>0</v>
      </c>
      <c r="Y42" s="239">
        <v>0</v>
      </c>
      <c r="Z42" s="239">
        <v>0</v>
      </c>
      <c r="AA42" s="239">
        <v>0</v>
      </c>
      <c r="AB42" s="234">
        <f t="shared" si="1"/>
        <v>0</v>
      </c>
      <c r="AC42" s="235">
        <f t="shared" si="2"/>
        <v>0</v>
      </c>
    </row>
    <row r="43" spans="1:29" x14ac:dyDescent="0.25">
      <c r="A43" s="232" t="s">
        <v>24</v>
      </c>
      <c r="B43" s="233" t="s">
        <v>533</v>
      </c>
      <c r="C43" s="234">
        <v>0</v>
      </c>
      <c r="D43" s="234">
        <v>0</v>
      </c>
      <c r="E43" s="234">
        <f t="shared" si="7"/>
        <v>0</v>
      </c>
      <c r="F43" s="234">
        <f t="shared" si="4"/>
        <v>0</v>
      </c>
      <c r="G43" s="234">
        <v>0</v>
      </c>
      <c r="H43" s="234">
        <v>0</v>
      </c>
      <c r="I43" s="234">
        <v>0</v>
      </c>
      <c r="J43" s="234">
        <v>0</v>
      </c>
      <c r="K43" s="234">
        <v>0</v>
      </c>
      <c r="L43" s="234">
        <v>0</v>
      </c>
      <c r="M43" s="234">
        <v>0</v>
      </c>
      <c r="N43" s="234">
        <v>0</v>
      </c>
      <c r="O43" s="234">
        <v>0</v>
      </c>
      <c r="P43" s="234">
        <v>0</v>
      </c>
      <c r="Q43" s="234">
        <v>0</v>
      </c>
      <c r="R43" s="234">
        <v>0</v>
      </c>
      <c r="S43" s="234">
        <v>0</v>
      </c>
      <c r="T43" s="234">
        <v>0</v>
      </c>
      <c r="U43" s="234">
        <v>0</v>
      </c>
      <c r="V43" s="234">
        <v>0</v>
      </c>
      <c r="W43" s="234">
        <v>0</v>
      </c>
      <c r="X43" s="234">
        <v>0</v>
      </c>
      <c r="Y43" s="234">
        <v>0</v>
      </c>
      <c r="Z43" s="234">
        <v>0</v>
      </c>
      <c r="AA43" s="234">
        <v>0</v>
      </c>
      <c r="AB43" s="234">
        <f t="shared" si="1"/>
        <v>0</v>
      </c>
      <c r="AC43" s="235">
        <f t="shared" si="2"/>
        <v>0</v>
      </c>
    </row>
    <row r="44" spans="1:29" x14ac:dyDescent="0.25">
      <c r="A44" s="237" t="s">
        <v>534</v>
      </c>
      <c r="B44" s="238" t="s">
        <v>535</v>
      </c>
      <c r="C44" s="234">
        <v>0</v>
      </c>
      <c r="D44" s="234">
        <v>0</v>
      </c>
      <c r="E44" s="234">
        <f t="shared" si="7"/>
        <v>0</v>
      </c>
      <c r="F44" s="234">
        <f t="shared" si="4"/>
        <v>0</v>
      </c>
      <c r="G44" s="239">
        <v>0</v>
      </c>
      <c r="H44" s="239">
        <v>0</v>
      </c>
      <c r="I44" s="239">
        <v>0</v>
      </c>
      <c r="J44" s="239">
        <v>0</v>
      </c>
      <c r="K44" s="239">
        <v>0</v>
      </c>
      <c r="L44" s="239">
        <v>0</v>
      </c>
      <c r="M44" s="239">
        <v>0</v>
      </c>
      <c r="N44" s="239">
        <v>0</v>
      </c>
      <c r="O44" s="239">
        <v>0</v>
      </c>
      <c r="P44" s="239">
        <v>0</v>
      </c>
      <c r="Q44" s="239">
        <v>0</v>
      </c>
      <c r="R44" s="239">
        <v>0</v>
      </c>
      <c r="S44" s="239">
        <v>0</v>
      </c>
      <c r="T44" s="239">
        <v>0</v>
      </c>
      <c r="U44" s="239">
        <v>0</v>
      </c>
      <c r="V44" s="239">
        <v>0</v>
      </c>
      <c r="W44" s="239">
        <v>0</v>
      </c>
      <c r="X44" s="239">
        <v>0</v>
      </c>
      <c r="Y44" s="239">
        <v>0</v>
      </c>
      <c r="Z44" s="239">
        <v>0</v>
      </c>
      <c r="AA44" s="239">
        <v>0</v>
      </c>
      <c r="AB44" s="234">
        <f t="shared" si="1"/>
        <v>0</v>
      </c>
      <c r="AC44" s="235">
        <f t="shared" si="2"/>
        <v>0</v>
      </c>
    </row>
    <row r="45" spans="1:29" x14ac:dyDescent="0.25">
      <c r="A45" s="237" t="s">
        <v>536</v>
      </c>
      <c r="B45" s="238" t="s">
        <v>522</v>
      </c>
      <c r="C45" s="234">
        <v>0</v>
      </c>
      <c r="D45" s="234">
        <v>0</v>
      </c>
      <c r="E45" s="234">
        <f t="shared" si="7"/>
        <v>0</v>
      </c>
      <c r="F45" s="234">
        <f t="shared" si="4"/>
        <v>0</v>
      </c>
      <c r="G45" s="239">
        <v>0</v>
      </c>
      <c r="H45" s="239">
        <v>0</v>
      </c>
      <c r="I45" s="239">
        <v>0</v>
      </c>
      <c r="J45" s="239">
        <v>0</v>
      </c>
      <c r="K45" s="239">
        <v>0</v>
      </c>
      <c r="L45" s="239">
        <v>0</v>
      </c>
      <c r="M45" s="239">
        <v>0</v>
      </c>
      <c r="N45" s="239">
        <v>0</v>
      </c>
      <c r="O45" s="239">
        <v>0</v>
      </c>
      <c r="P45" s="239">
        <v>0</v>
      </c>
      <c r="Q45" s="239">
        <v>0</v>
      </c>
      <c r="R45" s="239">
        <v>0</v>
      </c>
      <c r="S45" s="239">
        <v>0</v>
      </c>
      <c r="T45" s="239">
        <v>0</v>
      </c>
      <c r="U45" s="239">
        <v>0</v>
      </c>
      <c r="V45" s="239">
        <v>0</v>
      </c>
      <c r="W45" s="239">
        <v>0</v>
      </c>
      <c r="X45" s="239">
        <v>0</v>
      </c>
      <c r="Y45" s="239">
        <v>0</v>
      </c>
      <c r="Z45" s="239">
        <v>0</v>
      </c>
      <c r="AA45" s="239">
        <v>0</v>
      </c>
      <c r="AB45" s="234">
        <f t="shared" si="1"/>
        <v>0</v>
      </c>
      <c r="AC45" s="235">
        <f t="shared" si="2"/>
        <v>0</v>
      </c>
    </row>
    <row r="46" spans="1:29" x14ac:dyDescent="0.25">
      <c r="A46" s="237" t="s">
        <v>537</v>
      </c>
      <c r="B46" s="238" t="s">
        <v>524</v>
      </c>
      <c r="C46" s="234">
        <v>0</v>
      </c>
      <c r="D46" s="234">
        <v>0</v>
      </c>
      <c r="E46" s="234">
        <f t="shared" si="7"/>
        <v>0</v>
      </c>
      <c r="F46" s="234">
        <f t="shared" si="4"/>
        <v>0</v>
      </c>
      <c r="G46" s="239">
        <v>0</v>
      </c>
      <c r="H46" s="239">
        <v>0</v>
      </c>
      <c r="I46" s="239">
        <v>0</v>
      </c>
      <c r="J46" s="239">
        <v>0</v>
      </c>
      <c r="K46" s="239">
        <v>0</v>
      </c>
      <c r="L46" s="239">
        <v>0</v>
      </c>
      <c r="M46" s="239">
        <v>0</v>
      </c>
      <c r="N46" s="239">
        <v>0</v>
      </c>
      <c r="O46" s="239">
        <v>0</v>
      </c>
      <c r="P46" s="239">
        <v>0</v>
      </c>
      <c r="Q46" s="239">
        <v>0</v>
      </c>
      <c r="R46" s="239">
        <v>0</v>
      </c>
      <c r="S46" s="239">
        <v>0</v>
      </c>
      <c r="T46" s="239">
        <v>0</v>
      </c>
      <c r="U46" s="239">
        <v>0</v>
      </c>
      <c r="V46" s="239">
        <v>0</v>
      </c>
      <c r="W46" s="239">
        <v>0</v>
      </c>
      <c r="X46" s="239">
        <v>0</v>
      </c>
      <c r="Y46" s="239">
        <v>0</v>
      </c>
      <c r="Z46" s="239">
        <v>0</v>
      </c>
      <c r="AA46" s="239">
        <v>0</v>
      </c>
      <c r="AB46" s="234">
        <f t="shared" si="1"/>
        <v>0</v>
      </c>
      <c r="AC46" s="235">
        <f t="shared" si="2"/>
        <v>0</v>
      </c>
    </row>
    <row r="47" spans="1:29" ht="31.5" x14ac:dyDescent="0.25">
      <c r="A47" s="237" t="s">
        <v>538</v>
      </c>
      <c r="B47" s="238" t="s">
        <v>526</v>
      </c>
      <c r="C47" s="234">
        <v>0</v>
      </c>
      <c r="D47" s="234">
        <v>0</v>
      </c>
      <c r="E47" s="234">
        <f t="shared" si="7"/>
        <v>0</v>
      </c>
      <c r="F47" s="234">
        <f t="shared" si="4"/>
        <v>0</v>
      </c>
      <c r="G47" s="239">
        <v>0</v>
      </c>
      <c r="H47" s="239">
        <v>0</v>
      </c>
      <c r="I47" s="239">
        <v>0</v>
      </c>
      <c r="J47" s="239">
        <v>0</v>
      </c>
      <c r="K47" s="239">
        <v>0</v>
      </c>
      <c r="L47" s="239">
        <v>0</v>
      </c>
      <c r="M47" s="239">
        <v>0</v>
      </c>
      <c r="N47" s="239">
        <v>0</v>
      </c>
      <c r="O47" s="239">
        <v>0</v>
      </c>
      <c r="P47" s="239">
        <v>0</v>
      </c>
      <c r="Q47" s="239">
        <v>0</v>
      </c>
      <c r="R47" s="239">
        <v>0</v>
      </c>
      <c r="S47" s="239">
        <v>0</v>
      </c>
      <c r="T47" s="239">
        <v>0</v>
      </c>
      <c r="U47" s="239">
        <v>0</v>
      </c>
      <c r="V47" s="239">
        <v>0</v>
      </c>
      <c r="W47" s="239">
        <v>0</v>
      </c>
      <c r="X47" s="239">
        <v>0</v>
      </c>
      <c r="Y47" s="239">
        <v>0</v>
      </c>
      <c r="Z47" s="239">
        <v>0</v>
      </c>
      <c r="AA47" s="239">
        <v>0</v>
      </c>
      <c r="AB47" s="234">
        <f t="shared" si="1"/>
        <v>0</v>
      </c>
      <c r="AC47" s="235">
        <f t="shared" si="2"/>
        <v>0</v>
      </c>
    </row>
    <row r="48" spans="1:29" ht="31.5" x14ac:dyDescent="0.25">
      <c r="A48" s="237" t="s">
        <v>539</v>
      </c>
      <c r="B48" s="238" t="s">
        <v>528</v>
      </c>
      <c r="C48" s="234">
        <v>0</v>
      </c>
      <c r="D48" s="234">
        <v>0</v>
      </c>
      <c r="E48" s="234">
        <f t="shared" si="7"/>
        <v>0</v>
      </c>
      <c r="F48" s="234">
        <f t="shared" si="4"/>
        <v>0</v>
      </c>
      <c r="G48" s="239">
        <v>0</v>
      </c>
      <c r="H48" s="239">
        <v>0</v>
      </c>
      <c r="I48" s="239">
        <v>0</v>
      </c>
      <c r="J48" s="239">
        <v>0</v>
      </c>
      <c r="K48" s="239">
        <v>0</v>
      </c>
      <c r="L48" s="239">
        <v>0</v>
      </c>
      <c r="M48" s="239">
        <v>0</v>
      </c>
      <c r="N48" s="239">
        <v>0</v>
      </c>
      <c r="O48" s="239">
        <v>0</v>
      </c>
      <c r="P48" s="239">
        <v>0</v>
      </c>
      <c r="Q48" s="239">
        <v>0</v>
      </c>
      <c r="R48" s="239">
        <v>0</v>
      </c>
      <c r="S48" s="239">
        <v>0</v>
      </c>
      <c r="T48" s="239">
        <v>0</v>
      </c>
      <c r="U48" s="239">
        <v>0</v>
      </c>
      <c r="V48" s="239">
        <v>0</v>
      </c>
      <c r="W48" s="239">
        <v>0</v>
      </c>
      <c r="X48" s="239">
        <v>0</v>
      </c>
      <c r="Y48" s="239">
        <v>0</v>
      </c>
      <c r="Z48" s="239">
        <v>0</v>
      </c>
      <c r="AA48" s="239">
        <v>0</v>
      </c>
      <c r="AB48" s="234">
        <f t="shared" si="1"/>
        <v>0</v>
      </c>
      <c r="AC48" s="235">
        <f t="shared" si="2"/>
        <v>0</v>
      </c>
    </row>
    <row r="49" spans="1:31" x14ac:dyDescent="0.25">
      <c r="A49" s="237" t="s">
        <v>540</v>
      </c>
      <c r="B49" s="238" t="s">
        <v>530</v>
      </c>
      <c r="C49" s="234">
        <f>C41</f>
        <v>9.5100000000000016</v>
      </c>
      <c r="D49" s="234">
        <v>0</v>
      </c>
      <c r="E49" s="234">
        <f t="shared" si="7"/>
        <v>9.5100000000000016</v>
      </c>
      <c r="F49" s="234">
        <f t="shared" si="4"/>
        <v>1.9999999999988916E-3</v>
      </c>
      <c r="G49" s="239">
        <v>0</v>
      </c>
      <c r="H49" s="239">
        <f>H41</f>
        <v>9.5100000000000016</v>
      </c>
      <c r="I49" s="239">
        <v>0</v>
      </c>
      <c r="J49" s="239">
        <f>J41</f>
        <v>9.5080000000000027</v>
      </c>
      <c r="K49" s="239">
        <v>0</v>
      </c>
      <c r="L49" s="239">
        <v>0</v>
      </c>
      <c r="M49" s="239">
        <v>0</v>
      </c>
      <c r="N49" s="239">
        <v>0</v>
      </c>
      <c r="O49" s="239">
        <v>0</v>
      </c>
      <c r="P49" s="239">
        <v>0</v>
      </c>
      <c r="Q49" s="239">
        <v>0</v>
      </c>
      <c r="R49" s="239">
        <v>0</v>
      </c>
      <c r="S49" s="239">
        <v>0</v>
      </c>
      <c r="T49" s="239">
        <v>0</v>
      </c>
      <c r="U49" s="239">
        <v>0</v>
      </c>
      <c r="V49" s="239">
        <v>0</v>
      </c>
      <c r="W49" s="239">
        <v>0</v>
      </c>
      <c r="X49" s="239">
        <v>0</v>
      </c>
      <c r="Y49" s="239">
        <v>0</v>
      </c>
      <c r="Z49" s="239">
        <v>0</v>
      </c>
      <c r="AA49" s="239">
        <v>0</v>
      </c>
      <c r="AB49" s="234">
        <f t="shared" si="1"/>
        <v>9.5100000000000016</v>
      </c>
      <c r="AC49" s="235">
        <f t="shared" si="2"/>
        <v>9.5080000000000027</v>
      </c>
    </row>
    <row r="50" spans="1:31" ht="18.75" x14ac:dyDescent="0.25">
      <c r="A50" s="237" t="s">
        <v>541</v>
      </c>
      <c r="B50" s="242" t="s">
        <v>532</v>
      </c>
      <c r="C50" s="243">
        <v>0</v>
      </c>
      <c r="D50" s="243">
        <v>0</v>
      </c>
      <c r="E50" s="243">
        <f t="shared" si="7"/>
        <v>0</v>
      </c>
      <c r="F50" s="234">
        <f t="shared" si="4"/>
        <v>0</v>
      </c>
      <c r="G50" s="239">
        <v>0</v>
      </c>
      <c r="H50" s="239">
        <v>0</v>
      </c>
      <c r="I50" s="239">
        <v>0</v>
      </c>
      <c r="J50" s="239">
        <v>0</v>
      </c>
      <c r="K50" s="239">
        <v>0</v>
      </c>
      <c r="L50" s="239">
        <v>0</v>
      </c>
      <c r="M50" s="239">
        <v>0</v>
      </c>
      <c r="N50" s="239">
        <v>0</v>
      </c>
      <c r="O50" s="239">
        <v>0</v>
      </c>
      <c r="P50" s="239">
        <v>0</v>
      </c>
      <c r="Q50" s="239">
        <v>0</v>
      </c>
      <c r="R50" s="239">
        <v>0</v>
      </c>
      <c r="S50" s="239">
        <v>0</v>
      </c>
      <c r="T50" s="239">
        <v>0</v>
      </c>
      <c r="U50" s="239">
        <v>0</v>
      </c>
      <c r="V50" s="239">
        <v>0</v>
      </c>
      <c r="W50" s="239">
        <v>0</v>
      </c>
      <c r="X50" s="239">
        <v>0</v>
      </c>
      <c r="Y50" s="239">
        <v>0</v>
      </c>
      <c r="Z50" s="239">
        <v>0</v>
      </c>
      <c r="AA50" s="239">
        <v>0</v>
      </c>
      <c r="AB50" s="234">
        <f t="shared" si="1"/>
        <v>0</v>
      </c>
      <c r="AC50" s="235">
        <f t="shared" si="2"/>
        <v>0</v>
      </c>
    </row>
    <row r="51" spans="1:31" ht="35.25" customHeight="1" x14ac:dyDescent="0.25">
      <c r="A51" s="232" t="s">
        <v>27</v>
      </c>
      <c r="B51" s="233" t="s">
        <v>542</v>
      </c>
      <c r="C51" s="234">
        <v>0</v>
      </c>
      <c r="D51" s="234">
        <v>0</v>
      </c>
      <c r="E51" s="234">
        <f t="shared" si="7"/>
        <v>0</v>
      </c>
      <c r="F51" s="234">
        <f t="shared" si="4"/>
        <v>0</v>
      </c>
      <c r="G51" s="234">
        <v>0</v>
      </c>
      <c r="H51" s="234">
        <v>0</v>
      </c>
      <c r="I51" s="234">
        <v>0</v>
      </c>
      <c r="J51" s="234">
        <v>0</v>
      </c>
      <c r="K51" s="234">
        <v>0</v>
      </c>
      <c r="L51" s="234">
        <v>0</v>
      </c>
      <c r="M51" s="234">
        <v>0</v>
      </c>
      <c r="N51" s="234">
        <v>0</v>
      </c>
      <c r="O51" s="234">
        <v>0</v>
      </c>
      <c r="P51" s="234">
        <v>0</v>
      </c>
      <c r="Q51" s="234">
        <v>0</v>
      </c>
      <c r="R51" s="234">
        <v>0</v>
      </c>
      <c r="S51" s="234">
        <v>0</v>
      </c>
      <c r="T51" s="234">
        <v>0</v>
      </c>
      <c r="U51" s="234">
        <v>0</v>
      </c>
      <c r="V51" s="234">
        <v>0</v>
      </c>
      <c r="W51" s="234">
        <v>0</v>
      </c>
      <c r="X51" s="234">
        <v>0</v>
      </c>
      <c r="Y51" s="234">
        <v>0</v>
      </c>
      <c r="Z51" s="234">
        <v>0</v>
      </c>
      <c r="AA51" s="234">
        <v>0</v>
      </c>
      <c r="AB51" s="234">
        <f t="shared" si="1"/>
        <v>0</v>
      </c>
      <c r="AC51" s="235">
        <f t="shared" si="2"/>
        <v>0</v>
      </c>
    </row>
    <row r="52" spans="1:31" x14ac:dyDescent="0.25">
      <c r="A52" s="237" t="s">
        <v>543</v>
      </c>
      <c r="B52" s="238" t="s">
        <v>544</v>
      </c>
      <c r="C52" s="234">
        <f>C30</f>
        <v>169.79368423</v>
      </c>
      <c r="D52" s="234">
        <v>0</v>
      </c>
      <c r="E52" s="234">
        <f t="shared" si="7"/>
        <v>169.79368423</v>
      </c>
      <c r="F52" s="234">
        <f t="shared" si="4"/>
        <v>-5.9972734899999978</v>
      </c>
      <c r="G52" s="239">
        <v>0</v>
      </c>
      <c r="H52" s="239">
        <f>H30</f>
        <v>169.79368423</v>
      </c>
      <c r="I52" s="239">
        <v>0</v>
      </c>
      <c r="J52" s="239">
        <v>175.79095771999999</v>
      </c>
      <c r="K52" s="239">
        <v>0</v>
      </c>
      <c r="L52" s="239">
        <v>0</v>
      </c>
      <c r="M52" s="239">
        <v>0</v>
      </c>
      <c r="N52" s="239">
        <v>0</v>
      </c>
      <c r="O52" s="239">
        <v>0</v>
      </c>
      <c r="P52" s="239">
        <v>0</v>
      </c>
      <c r="Q52" s="239">
        <v>0</v>
      </c>
      <c r="R52" s="239">
        <v>0</v>
      </c>
      <c r="S52" s="239">
        <v>0</v>
      </c>
      <c r="T52" s="239">
        <v>0</v>
      </c>
      <c r="U52" s="239">
        <v>0</v>
      </c>
      <c r="V52" s="239">
        <v>0</v>
      </c>
      <c r="W52" s="239">
        <v>0</v>
      </c>
      <c r="X52" s="239">
        <v>0</v>
      </c>
      <c r="Y52" s="239">
        <v>0</v>
      </c>
      <c r="Z52" s="239">
        <v>0</v>
      </c>
      <c r="AA52" s="239">
        <v>0</v>
      </c>
      <c r="AB52" s="234">
        <f t="shared" si="1"/>
        <v>169.79368423</v>
      </c>
      <c r="AC52" s="235">
        <f t="shared" si="2"/>
        <v>175.79095771999999</v>
      </c>
      <c r="AE52" s="236"/>
    </row>
    <row r="53" spans="1:31" x14ac:dyDescent="0.25">
      <c r="A53" s="237" t="s">
        <v>545</v>
      </c>
      <c r="B53" s="238" t="s">
        <v>394</v>
      </c>
      <c r="C53" s="234">
        <v>0</v>
      </c>
      <c r="D53" s="234">
        <v>0</v>
      </c>
      <c r="E53" s="234">
        <f t="shared" si="7"/>
        <v>0</v>
      </c>
      <c r="F53" s="234">
        <f t="shared" si="4"/>
        <v>0</v>
      </c>
      <c r="G53" s="239">
        <v>0</v>
      </c>
      <c r="H53" s="239">
        <v>0</v>
      </c>
      <c r="I53" s="239">
        <v>0</v>
      </c>
      <c r="J53" s="239">
        <v>0</v>
      </c>
      <c r="K53" s="239">
        <v>0</v>
      </c>
      <c r="L53" s="239">
        <v>0</v>
      </c>
      <c r="M53" s="239">
        <v>0</v>
      </c>
      <c r="N53" s="239">
        <v>0</v>
      </c>
      <c r="O53" s="239">
        <v>0</v>
      </c>
      <c r="P53" s="239">
        <v>0</v>
      </c>
      <c r="Q53" s="239">
        <v>0</v>
      </c>
      <c r="R53" s="239">
        <v>0</v>
      </c>
      <c r="S53" s="239">
        <v>0</v>
      </c>
      <c r="T53" s="239">
        <v>0</v>
      </c>
      <c r="U53" s="239">
        <v>0</v>
      </c>
      <c r="V53" s="239">
        <v>0</v>
      </c>
      <c r="W53" s="239">
        <v>0</v>
      </c>
      <c r="X53" s="239">
        <v>0</v>
      </c>
      <c r="Y53" s="239">
        <v>0</v>
      </c>
      <c r="Z53" s="239">
        <v>0</v>
      </c>
      <c r="AA53" s="239">
        <v>0</v>
      </c>
      <c r="AB53" s="234">
        <f t="shared" si="1"/>
        <v>0</v>
      </c>
      <c r="AC53" s="235">
        <f t="shared" si="2"/>
        <v>0</v>
      </c>
    </row>
    <row r="54" spans="1:31" x14ac:dyDescent="0.25">
      <c r="A54" s="237" t="s">
        <v>546</v>
      </c>
      <c r="B54" s="242" t="s">
        <v>547</v>
      </c>
      <c r="C54" s="243">
        <v>0</v>
      </c>
      <c r="D54" s="243">
        <v>0</v>
      </c>
      <c r="E54" s="243">
        <f t="shared" si="7"/>
        <v>0</v>
      </c>
      <c r="F54" s="234">
        <f t="shared" si="4"/>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4">
        <f t="shared" si="1"/>
        <v>0</v>
      </c>
      <c r="AC54" s="235">
        <f t="shared" si="2"/>
        <v>0</v>
      </c>
    </row>
    <row r="55" spans="1:31" x14ac:dyDescent="0.25">
      <c r="A55" s="237" t="s">
        <v>548</v>
      </c>
      <c r="B55" s="242" t="s">
        <v>549</v>
      </c>
      <c r="C55" s="243">
        <v>0</v>
      </c>
      <c r="D55" s="243">
        <v>0</v>
      </c>
      <c r="E55" s="243">
        <f t="shared" si="7"/>
        <v>0</v>
      </c>
      <c r="F55" s="234">
        <f t="shared" si="4"/>
        <v>0</v>
      </c>
      <c r="G55" s="239">
        <v>0</v>
      </c>
      <c r="H55" s="239">
        <v>0</v>
      </c>
      <c r="I55" s="239">
        <v>0</v>
      </c>
      <c r="J55" s="239">
        <v>0</v>
      </c>
      <c r="K55" s="239">
        <v>0</v>
      </c>
      <c r="L55" s="239">
        <v>0</v>
      </c>
      <c r="M55" s="239">
        <v>0</v>
      </c>
      <c r="N55" s="239">
        <v>0</v>
      </c>
      <c r="O55" s="239">
        <v>0</v>
      </c>
      <c r="P55" s="239">
        <v>0</v>
      </c>
      <c r="Q55" s="239">
        <v>0</v>
      </c>
      <c r="R55" s="239">
        <v>0</v>
      </c>
      <c r="S55" s="239">
        <v>0</v>
      </c>
      <c r="T55" s="239">
        <v>0</v>
      </c>
      <c r="U55" s="239">
        <v>0</v>
      </c>
      <c r="V55" s="239">
        <v>0</v>
      </c>
      <c r="W55" s="239">
        <v>0</v>
      </c>
      <c r="X55" s="239">
        <v>0</v>
      </c>
      <c r="Y55" s="239">
        <v>0</v>
      </c>
      <c r="Z55" s="239">
        <v>0</v>
      </c>
      <c r="AA55" s="239">
        <v>0</v>
      </c>
      <c r="AB55" s="234">
        <f t="shared" si="1"/>
        <v>0</v>
      </c>
      <c r="AC55" s="235">
        <f t="shared" si="2"/>
        <v>0</v>
      </c>
    </row>
    <row r="56" spans="1:31" x14ac:dyDescent="0.25">
      <c r="A56" s="237" t="s">
        <v>550</v>
      </c>
      <c r="B56" s="242" t="s">
        <v>551</v>
      </c>
      <c r="C56" s="243">
        <f>C47+C48+C49</f>
        <v>9.5100000000000016</v>
      </c>
      <c r="D56" s="243">
        <v>0</v>
      </c>
      <c r="E56" s="243">
        <f t="shared" si="7"/>
        <v>9.5100000000000016</v>
      </c>
      <c r="F56" s="234">
        <f t="shared" si="4"/>
        <v>1.9999999999988916E-3</v>
      </c>
      <c r="G56" s="239">
        <v>0</v>
      </c>
      <c r="H56" s="239">
        <f>H47+H48+H49</f>
        <v>9.5100000000000016</v>
      </c>
      <c r="I56" s="239">
        <v>0</v>
      </c>
      <c r="J56" s="239">
        <f>J47+J48+J49</f>
        <v>9.5080000000000027</v>
      </c>
      <c r="K56" s="239">
        <v>0</v>
      </c>
      <c r="L56" s="239">
        <v>0</v>
      </c>
      <c r="M56" s="239">
        <v>0</v>
      </c>
      <c r="N56" s="239">
        <v>0</v>
      </c>
      <c r="O56" s="239">
        <v>0</v>
      </c>
      <c r="P56" s="239">
        <v>0</v>
      </c>
      <c r="Q56" s="239">
        <v>0</v>
      </c>
      <c r="R56" s="239">
        <v>0</v>
      </c>
      <c r="S56" s="239">
        <v>0</v>
      </c>
      <c r="T56" s="239">
        <v>0</v>
      </c>
      <c r="U56" s="239">
        <v>0</v>
      </c>
      <c r="V56" s="239">
        <v>0</v>
      </c>
      <c r="W56" s="239">
        <v>0</v>
      </c>
      <c r="X56" s="239">
        <v>0</v>
      </c>
      <c r="Y56" s="239">
        <v>0</v>
      </c>
      <c r="Z56" s="239">
        <v>0</v>
      </c>
      <c r="AA56" s="239">
        <v>0</v>
      </c>
      <c r="AB56" s="234">
        <f t="shared" si="1"/>
        <v>9.5100000000000016</v>
      </c>
      <c r="AC56" s="235">
        <f t="shared" si="2"/>
        <v>9.5080000000000027</v>
      </c>
    </row>
    <row r="57" spans="1:31" ht="18.75" x14ac:dyDescent="0.25">
      <c r="A57" s="237" t="s">
        <v>552</v>
      </c>
      <c r="B57" s="242" t="s">
        <v>553</v>
      </c>
      <c r="C57" s="243">
        <v>0</v>
      </c>
      <c r="D57" s="243">
        <v>0</v>
      </c>
      <c r="E57" s="243">
        <f t="shared" si="7"/>
        <v>0</v>
      </c>
      <c r="F57" s="234">
        <f t="shared" si="4"/>
        <v>0</v>
      </c>
      <c r="G57" s="239">
        <v>0</v>
      </c>
      <c r="H57" s="239">
        <v>0</v>
      </c>
      <c r="I57" s="239">
        <v>0</v>
      </c>
      <c r="J57" s="239">
        <v>0</v>
      </c>
      <c r="K57" s="239">
        <v>0</v>
      </c>
      <c r="L57" s="239">
        <v>0</v>
      </c>
      <c r="M57" s="239">
        <v>0</v>
      </c>
      <c r="N57" s="239">
        <v>0</v>
      </c>
      <c r="O57" s="239">
        <v>0</v>
      </c>
      <c r="P57" s="239">
        <v>0</v>
      </c>
      <c r="Q57" s="239">
        <v>0</v>
      </c>
      <c r="R57" s="239">
        <v>0</v>
      </c>
      <c r="S57" s="239">
        <v>0</v>
      </c>
      <c r="T57" s="239">
        <v>0</v>
      </c>
      <c r="U57" s="239">
        <v>0</v>
      </c>
      <c r="V57" s="239">
        <v>0</v>
      </c>
      <c r="W57" s="239">
        <v>0</v>
      </c>
      <c r="X57" s="239">
        <v>0</v>
      </c>
      <c r="Y57" s="239">
        <v>0</v>
      </c>
      <c r="Z57" s="239">
        <v>0</v>
      </c>
      <c r="AA57" s="239">
        <v>0</v>
      </c>
      <c r="AB57" s="234">
        <f t="shared" si="1"/>
        <v>0</v>
      </c>
      <c r="AC57" s="235">
        <f t="shared" si="2"/>
        <v>0</v>
      </c>
    </row>
    <row r="58" spans="1:31" ht="36.75" customHeight="1" x14ac:dyDescent="0.25">
      <c r="A58" s="232" t="s">
        <v>30</v>
      </c>
      <c r="B58" s="244" t="s">
        <v>554</v>
      </c>
      <c r="C58" s="243">
        <v>0</v>
      </c>
      <c r="D58" s="243">
        <v>0</v>
      </c>
      <c r="E58" s="243">
        <f t="shared" si="7"/>
        <v>0</v>
      </c>
      <c r="F58" s="234">
        <f t="shared" si="4"/>
        <v>0</v>
      </c>
      <c r="G58" s="234">
        <v>0</v>
      </c>
      <c r="H58" s="234">
        <v>0</v>
      </c>
      <c r="I58" s="234">
        <v>0</v>
      </c>
      <c r="J58" s="234">
        <v>0</v>
      </c>
      <c r="K58" s="234">
        <v>0</v>
      </c>
      <c r="L58" s="234">
        <v>0</v>
      </c>
      <c r="M58" s="234">
        <v>0</v>
      </c>
      <c r="N58" s="234">
        <v>0</v>
      </c>
      <c r="O58" s="234">
        <v>0</v>
      </c>
      <c r="P58" s="234">
        <v>0</v>
      </c>
      <c r="Q58" s="234">
        <v>0</v>
      </c>
      <c r="R58" s="234">
        <v>0</v>
      </c>
      <c r="S58" s="234">
        <v>0</v>
      </c>
      <c r="T58" s="234">
        <v>0</v>
      </c>
      <c r="U58" s="234">
        <v>0</v>
      </c>
      <c r="V58" s="234">
        <v>0</v>
      </c>
      <c r="W58" s="234">
        <v>0</v>
      </c>
      <c r="X58" s="234">
        <v>0</v>
      </c>
      <c r="Y58" s="234">
        <v>0</v>
      </c>
      <c r="Z58" s="234">
        <v>0</v>
      </c>
      <c r="AA58" s="234">
        <v>0</v>
      </c>
      <c r="AB58" s="234">
        <f t="shared" si="1"/>
        <v>0</v>
      </c>
      <c r="AC58" s="235">
        <f t="shared" si="2"/>
        <v>0</v>
      </c>
    </row>
    <row r="59" spans="1:31" x14ac:dyDescent="0.25">
      <c r="A59" s="232" t="s">
        <v>33</v>
      </c>
      <c r="B59" s="233" t="s">
        <v>555</v>
      </c>
      <c r="C59" s="234">
        <v>0</v>
      </c>
      <c r="D59" s="234">
        <v>0</v>
      </c>
      <c r="E59" s="234">
        <f t="shared" si="7"/>
        <v>0</v>
      </c>
      <c r="F59" s="234">
        <f t="shared" si="4"/>
        <v>0</v>
      </c>
      <c r="G59" s="234">
        <v>0</v>
      </c>
      <c r="H59" s="234">
        <v>0</v>
      </c>
      <c r="I59" s="234">
        <v>0</v>
      </c>
      <c r="J59" s="234">
        <v>0</v>
      </c>
      <c r="K59" s="234">
        <v>0</v>
      </c>
      <c r="L59" s="234">
        <v>0</v>
      </c>
      <c r="M59" s="234">
        <v>0</v>
      </c>
      <c r="N59" s="234">
        <v>0</v>
      </c>
      <c r="O59" s="234">
        <v>0</v>
      </c>
      <c r="P59" s="234">
        <v>0</v>
      </c>
      <c r="Q59" s="234">
        <v>0</v>
      </c>
      <c r="R59" s="234">
        <v>0</v>
      </c>
      <c r="S59" s="234">
        <v>0</v>
      </c>
      <c r="T59" s="234">
        <v>0</v>
      </c>
      <c r="U59" s="234">
        <v>0</v>
      </c>
      <c r="V59" s="234">
        <v>0</v>
      </c>
      <c r="W59" s="234">
        <v>0</v>
      </c>
      <c r="X59" s="234">
        <v>0</v>
      </c>
      <c r="Y59" s="234">
        <v>0</v>
      </c>
      <c r="Z59" s="234">
        <v>0</v>
      </c>
      <c r="AA59" s="234">
        <v>0</v>
      </c>
      <c r="AB59" s="234">
        <f t="shared" si="1"/>
        <v>0</v>
      </c>
      <c r="AC59" s="235">
        <f t="shared" si="2"/>
        <v>0</v>
      </c>
    </row>
    <row r="60" spans="1:31" x14ac:dyDescent="0.25">
      <c r="A60" s="237" t="s">
        <v>556</v>
      </c>
      <c r="B60" s="245" t="s">
        <v>535</v>
      </c>
      <c r="C60" s="246">
        <v>0</v>
      </c>
      <c r="D60" s="246">
        <v>0</v>
      </c>
      <c r="E60" s="246">
        <f t="shared" si="7"/>
        <v>0</v>
      </c>
      <c r="F60" s="234">
        <f t="shared" si="4"/>
        <v>0</v>
      </c>
      <c r="G60" s="239">
        <v>0</v>
      </c>
      <c r="H60" s="239">
        <v>0</v>
      </c>
      <c r="I60" s="239">
        <v>0</v>
      </c>
      <c r="J60" s="239">
        <v>0</v>
      </c>
      <c r="K60" s="239">
        <v>0</v>
      </c>
      <c r="L60" s="239">
        <v>0</v>
      </c>
      <c r="M60" s="239">
        <v>0</v>
      </c>
      <c r="N60" s="239">
        <v>0</v>
      </c>
      <c r="O60" s="239">
        <v>0</v>
      </c>
      <c r="P60" s="239">
        <v>0</v>
      </c>
      <c r="Q60" s="239">
        <v>0</v>
      </c>
      <c r="R60" s="239">
        <v>0</v>
      </c>
      <c r="S60" s="239">
        <v>0</v>
      </c>
      <c r="T60" s="239">
        <v>0</v>
      </c>
      <c r="U60" s="239">
        <v>0</v>
      </c>
      <c r="V60" s="239">
        <v>0</v>
      </c>
      <c r="W60" s="239">
        <v>0</v>
      </c>
      <c r="X60" s="239">
        <v>0</v>
      </c>
      <c r="Y60" s="239">
        <v>0</v>
      </c>
      <c r="Z60" s="239">
        <v>0</v>
      </c>
      <c r="AA60" s="239">
        <v>0</v>
      </c>
      <c r="AB60" s="234">
        <f t="shared" si="1"/>
        <v>0</v>
      </c>
      <c r="AC60" s="235">
        <f t="shared" si="2"/>
        <v>0</v>
      </c>
    </row>
    <row r="61" spans="1:31" x14ac:dyDescent="0.25">
      <c r="A61" s="237" t="s">
        <v>557</v>
      </c>
      <c r="B61" s="245" t="s">
        <v>522</v>
      </c>
      <c r="C61" s="246">
        <v>0</v>
      </c>
      <c r="D61" s="246">
        <v>0</v>
      </c>
      <c r="E61" s="246">
        <f t="shared" si="7"/>
        <v>0</v>
      </c>
      <c r="F61" s="234">
        <f t="shared" si="4"/>
        <v>0</v>
      </c>
      <c r="G61" s="239">
        <v>0</v>
      </c>
      <c r="H61" s="239">
        <v>0</v>
      </c>
      <c r="I61" s="239">
        <v>0</v>
      </c>
      <c r="J61" s="239">
        <v>0</v>
      </c>
      <c r="K61" s="239">
        <v>0</v>
      </c>
      <c r="L61" s="239">
        <v>0</v>
      </c>
      <c r="M61" s="239">
        <v>0</v>
      </c>
      <c r="N61" s="239">
        <v>0</v>
      </c>
      <c r="O61" s="239">
        <v>0</v>
      </c>
      <c r="P61" s="239">
        <v>0</v>
      </c>
      <c r="Q61" s="239">
        <v>0</v>
      </c>
      <c r="R61" s="239">
        <v>0</v>
      </c>
      <c r="S61" s="239">
        <v>0</v>
      </c>
      <c r="T61" s="239">
        <v>0</v>
      </c>
      <c r="U61" s="239">
        <v>0</v>
      </c>
      <c r="V61" s="239">
        <v>0</v>
      </c>
      <c r="W61" s="239">
        <v>0</v>
      </c>
      <c r="X61" s="239">
        <v>0</v>
      </c>
      <c r="Y61" s="239">
        <v>0</v>
      </c>
      <c r="Z61" s="239">
        <v>0</v>
      </c>
      <c r="AA61" s="239">
        <v>0</v>
      </c>
      <c r="AB61" s="234">
        <f t="shared" si="1"/>
        <v>0</v>
      </c>
      <c r="AC61" s="235">
        <f t="shared" si="2"/>
        <v>0</v>
      </c>
    </row>
    <row r="62" spans="1:31" x14ac:dyDescent="0.25">
      <c r="A62" s="237" t="s">
        <v>558</v>
      </c>
      <c r="B62" s="245" t="s">
        <v>524</v>
      </c>
      <c r="C62" s="246">
        <v>0</v>
      </c>
      <c r="D62" s="246">
        <v>0</v>
      </c>
      <c r="E62" s="246">
        <f t="shared" si="7"/>
        <v>0</v>
      </c>
      <c r="F62" s="234">
        <f t="shared" si="4"/>
        <v>0</v>
      </c>
      <c r="G62" s="239">
        <v>0</v>
      </c>
      <c r="H62" s="239">
        <v>0</v>
      </c>
      <c r="I62" s="239">
        <v>0</v>
      </c>
      <c r="J62" s="239">
        <v>0</v>
      </c>
      <c r="K62" s="239">
        <v>0</v>
      </c>
      <c r="L62" s="239">
        <v>0</v>
      </c>
      <c r="M62" s="239">
        <v>0</v>
      </c>
      <c r="N62" s="239">
        <v>0</v>
      </c>
      <c r="O62" s="239">
        <v>0</v>
      </c>
      <c r="P62" s="239">
        <v>0</v>
      </c>
      <c r="Q62" s="239">
        <v>0</v>
      </c>
      <c r="R62" s="239">
        <v>0</v>
      </c>
      <c r="S62" s="239">
        <v>0</v>
      </c>
      <c r="T62" s="239">
        <v>0</v>
      </c>
      <c r="U62" s="239">
        <v>0</v>
      </c>
      <c r="V62" s="239">
        <v>0</v>
      </c>
      <c r="W62" s="239">
        <v>0</v>
      </c>
      <c r="X62" s="239">
        <v>0</v>
      </c>
      <c r="Y62" s="239">
        <v>0</v>
      </c>
      <c r="Z62" s="239">
        <v>0</v>
      </c>
      <c r="AA62" s="239">
        <v>0</v>
      </c>
      <c r="AB62" s="234">
        <f t="shared" si="1"/>
        <v>0</v>
      </c>
      <c r="AC62" s="235">
        <f t="shared" si="2"/>
        <v>0</v>
      </c>
    </row>
    <row r="63" spans="1:31" x14ac:dyDescent="0.25">
      <c r="A63" s="237" t="s">
        <v>559</v>
      </c>
      <c r="B63" s="245" t="s">
        <v>560</v>
      </c>
      <c r="C63" s="246">
        <f>C56</f>
        <v>9.5100000000000016</v>
      </c>
      <c r="D63" s="246">
        <v>0</v>
      </c>
      <c r="E63" s="246">
        <f t="shared" si="7"/>
        <v>9.5100000000000016</v>
      </c>
      <c r="F63" s="234">
        <f t="shared" si="4"/>
        <v>1.9999999999988916E-3</v>
      </c>
      <c r="G63" s="239">
        <v>0</v>
      </c>
      <c r="H63" s="239">
        <f>H56</f>
        <v>9.5100000000000016</v>
      </c>
      <c r="I63" s="239">
        <v>0</v>
      </c>
      <c r="J63" s="239">
        <v>9.5080000000000027</v>
      </c>
      <c r="K63" s="239">
        <v>0</v>
      </c>
      <c r="L63" s="239">
        <v>0</v>
      </c>
      <c r="M63" s="239">
        <v>0</v>
      </c>
      <c r="N63" s="239">
        <v>0</v>
      </c>
      <c r="O63" s="239">
        <v>0</v>
      </c>
      <c r="P63" s="239">
        <v>0</v>
      </c>
      <c r="Q63" s="239">
        <v>0</v>
      </c>
      <c r="R63" s="239">
        <v>0</v>
      </c>
      <c r="S63" s="239">
        <v>0</v>
      </c>
      <c r="T63" s="239">
        <v>0</v>
      </c>
      <c r="U63" s="239">
        <v>0</v>
      </c>
      <c r="V63" s="239">
        <v>0</v>
      </c>
      <c r="W63" s="239">
        <v>0</v>
      </c>
      <c r="X63" s="239">
        <v>0</v>
      </c>
      <c r="Y63" s="239">
        <v>0</v>
      </c>
      <c r="Z63" s="239">
        <v>0</v>
      </c>
      <c r="AA63" s="239">
        <v>0</v>
      </c>
      <c r="AB63" s="234">
        <f t="shared" si="1"/>
        <v>9.5100000000000016</v>
      </c>
      <c r="AC63" s="235">
        <f t="shared" si="2"/>
        <v>9.5080000000000027</v>
      </c>
    </row>
    <row r="64" spans="1:31" ht="18.75" x14ac:dyDescent="0.25">
      <c r="A64" s="237" t="s">
        <v>561</v>
      </c>
      <c r="B64" s="242" t="s">
        <v>553</v>
      </c>
      <c r="C64" s="243">
        <v>0</v>
      </c>
      <c r="D64" s="243">
        <v>0</v>
      </c>
      <c r="E64" s="243">
        <f t="shared" si="7"/>
        <v>0</v>
      </c>
      <c r="F64" s="234">
        <f t="shared" si="4"/>
        <v>0</v>
      </c>
      <c r="G64" s="239">
        <v>0</v>
      </c>
      <c r="H64" s="239">
        <v>0</v>
      </c>
      <c r="I64" s="239">
        <v>0</v>
      </c>
      <c r="J64" s="239">
        <v>0</v>
      </c>
      <c r="K64" s="239">
        <v>0</v>
      </c>
      <c r="L64" s="239">
        <v>0</v>
      </c>
      <c r="M64" s="239">
        <v>0</v>
      </c>
      <c r="N64" s="239">
        <v>0</v>
      </c>
      <c r="O64" s="239">
        <v>0</v>
      </c>
      <c r="P64" s="239">
        <v>0</v>
      </c>
      <c r="Q64" s="239">
        <v>0</v>
      </c>
      <c r="R64" s="239">
        <v>0</v>
      </c>
      <c r="S64" s="239">
        <v>0</v>
      </c>
      <c r="T64" s="239">
        <v>0</v>
      </c>
      <c r="U64" s="239">
        <v>0</v>
      </c>
      <c r="V64" s="239">
        <v>0</v>
      </c>
      <c r="W64" s="239">
        <v>0</v>
      </c>
      <c r="X64" s="239">
        <v>0</v>
      </c>
      <c r="Y64" s="239">
        <v>0</v>
      </c>
      <c r="Z64" s="239">
        <v>0</v>
      </c>
      <c r="AA64" s="239">
        <v>0</v>
      </c>
      <c r="AB64" s="234">
        <f t="shared" si="1"/>
        <v>0</v>
      </c>
      <c r="AC64" s="235">
        <f t="shared" si="2"/>
        <v>0</v>
      </c>
    </row>
    <row r="65" spans="1:28" x14ac:dyDescent="0.25">
      <c r="A65" s="247"/>
      <c r="B65" s="248"/>
      <c r="C65" s="248"/>
      <c r="D65" s="248"/>
      <c r="E65" s="248"/>
      <c r="F65" s="248"/>
      <c r="G65" s="248"/>
      <c r="H65" s="248"/>
      <c r="I65" s="248"/>
      <c r="J65" s="248"/>
      <c r="K65" s="248"/>
      <c r="L65" s="248"/>
      <c r="M65" s="248"/>
      <c r="N65" s="248"/>
      <c r="O65" s="248"/>
      <c r="P65" s="248"/>
      <c r="Q65" s="248"/>
      <c r="R65" s="248"/>
      <c r="S65" s="248"/>
      <c r="T65" s="247"/>
      <c r="U65" s="247"/>
    </row>
    <row r="66" spans="1:28" ht="54" customHeight="1" x14ac:dyDescent="0.25">
      <c r="B66" s="391"/>
      <c r="C66" s="391"/>
      <c r="D66" s="391"/>
      <c r="E66" s="391"/>
      <c r="F66" s="391"/>
      <c r="G66" s="391"/>
      <c r="H66" s="391"/>
      <c r="I66" s="391"/>
      <c r="J66" s="212"/>
      <c r="K66" s="212"/>
      <c r="L66" s="212"/>
      <c r="M66" s="212"/>
      <c r="N66" s="212"/>
      <c r="O66" s="212"/>
      <c r="P66" s="212"/>
      <c r="Q66" s="212"/>
      <c r="R66" s="212"/>
      <c r="S66" s="212"/>
      <c r="T66" s="249"/>
      <c r="U66" s="249"/>
      <c r="V66" s="249"/>
      <c r="W66" s="249"/>
      <c r="X66" s="249"/>
      <c r="Y66" s="249"/>
      <c r="Z66" s="249"/>
      <c r="AA66" s="249"/>
      <c r="AB66" s="249"/>
    </row>
    <row r="68" spans="1:28" ht="50.25" customHeight="1" x14ac:dyDescent="0.25">
      <c r="B68" s="391"/>
      <c r="C68" s="391"/>
      <c r="D68" s="391"/>
      <c r="E68" s="391"/>
      <c r="F68" s="391"/>
      <c r="G68" s="391"/>
      <c r="H68" s="391"/>
      <c r="I68" s="391"/>
      <c r="J68" s="212"/>
      <c r="K68" s="212"/>
      <c r="L68" s="212"/>
      <c r="M68" s="212"/>
      <c r="N68" s="212"/>
      <c r="O68" s="212"/>
      <c r="P68" s="212"/>
      <c r="Q68" s="212"/>
      <c r="R68" s="212"/>
      <c r="S68" s="212"/>
    </row>
    <row r="70" spans="1:28" ht="36.75" customHeight="1" x14ac:dyDescent="0.25">
      <c r="B70" s="391"/>
      <c r="C70" s="391"/>
      <c r="D70" s="391"/>
      <c r="E70" s="391"/>
      <c r="F70" s="391"/>
      <c r="G70" s="391"/>
      <c r="H70" s="391"/>
      <c r="I70" s="391"/>
      <c r="J70" s="212"/>
      <c r="K70" s="212"/>
      <c r="L70" s="212"/>
      <c r="M70" s="212"/>
      <c r="N70" s="212"/>
      <c r="O70" s="212"/>
      <c r="P70" s="212"/>
      <c r="Q70" s="212"/>
      <c r="R70" s="212"/>
      <c r="S70" s="212"/>
    </row>
    <row r="71" spans="1:28" x14ac:dyDescent="0.25">
      <c r="V71" s="250"/>
    </row>
    <row r="72" spans="1:28" ht="51" customHeight="1" x14ac:dyDescent="0.25">
      <c r="B72" s="391"/>
      <c r="C72" s="391"/>
      <c r="D72" s="391"/>
      <c r="E72" s="391"/>
      <c r="F72" s="391"/>
      <c r="G72" s="391"/>
      <c r="H72" s="391"/>
      <c r="I72" s="391"/>
      <c r="J72" s="212"/>
      <c r="K72" s="212"/>
      <c r="L72" s="212"/>
      <c r="M72" s="212"/>
      <c r="N72" s="212"/>
      <c r="O72" s="212"/>
      <c r="P72" s="212"/>
      <c r="Q72" s="212"/>
      <c r="R72" s="212"/>
      <c r="S72" s="212"/>
      <c r="V72" s="250"/>
    </row>
    <row r="73" spans="1:28" ht="32.25" customHeight="1" x14ac:dyDescent="0.25">
      <c r="B73" s="391"/>
      <c r="C73" s="391"/>
      <c r="D73" s="391"/>
      <c r="E73" s="391"/>
      <c r="F73" s="391"/>
      <c r="G73" s="391"/>
      <c r="H73" s="391"/>
      <c r="I73" s="391"/>
      <c r="J73" s="212"/>
      <c r="K73" s="212"/>
      <c r="L73" s="212"/>
      <c r="M73" s="212"/>
      <c r="N73" s="212"/>
      <c r="O73" s="212"/>
      <c r="P73" s="212"/>
      <c r="Q73" s="212"/>
      <c r="R73" s="212"/>
      <c r="S73" s="212"/>
    </row>
    <row r="74" spans="1:28" ht="51.75" customHeight="1" x14ac:dyDescent="0.25">
      <c r="B74" s="391"/>
      <c r="C74" s="391"/>
      <c r="D74" s="391"/>
      <c r="E74" s="391"/>
      <c r="F74" s="391"/>
      <c r="G74" s="391"/>
      <c r="H74" s="391"/>
      <c r="I74" s="391"/>
      <c r="J74" s="212"/>
      <c r="K74" s="212"/>
      <c r="L74" s="212"/>
      <c r="M74" s="212"/>
      <c r="N74" s="212"/>
      <c r="O74" s="212"/>
      <c r="P74" s="212"/>
      <c r="Q74" s="212"/>
      <c r="R74" s="212"/>
      <c r="S74" s="212"/>
    </row>
    <row r="75" spans="1:28" ht="21.75" customHeight="1" x14ac:dyDescent="0.25">
      <c r="B75" s="392"/>
      <c r="C75" s="392"/>
      <c r="D75" s="392"/>
      <c r="E75" s="392"/>
      <c r="F75" s="392"/>
      <c r="G75" s="392"/>
      <c r="H75" s="392"/>
      <c r="I75" s="392"/>
      <c r="J75" s="251"/>
      <c r="K75" s="251"/>
      <c r="L75" s="251"/>
      <c r="M75" s="251"/>
      <c r="N75" s="251"/>
      <c r="O75" s="251"/>
      <c r="P75" s="251"/>
      <c r="Q75" s="251"/>
      <c r="R75" s="251"/>
      <c r="S75" s="251"/>
    </row>
    <row r="76" spans="1:28" ht="23.25" customHeight="1" x14ac:dyDescent="0.25"/>
    <row r="77" spans="1:28" ht="18.75" customHeight="1" x14ac:dyDescent="0.25">
      <c r="B77" s="393"/>
      <c r="C77" s="393"/>
      <c r="D77" s="393"/>
      <c r="E77" s="393"/>
      <c r="F77" s="393"/>
      <c r="G77" s="393"/>
      <c r="H77" s="393"/>
      <c r="I77" s="393"/>
      <c r="J77" s="248"/>
      <c r="K77" s="248"/>
      <c r="L77" s="248"/>
      <c r="M77" s="248"/>
      <c r="N77" s="248"/>
      <c r="O77" s="248"/>
      <c r="P77" s="248"/>
      <c r="Q77" s="248"/>
      <c r="R77" s="248"/>
      <c r="S77" s="248"/>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L24:AA64 J35:J64 D24:H64">
    <cfRule type="cellIs" dxfId="8" priority="11" operator="notEqual">
      <formula>0</formula>
    </cfRule>
  </conditionalFormatting>
  <conditionalFormatting sqref="T24:AA29 T31:AA64">
    <cfRule type="cellIs" dxfId="7" priority="10" operator="notEqual">
      <formula>0</formula>
    </cfRule>
  </conditionalFormatting>
  <conditionalFormatting sqref="G24:G29 G31:G64">
    <cfRule type="cellIs" dxfId="6" priority="8" operator="notEqual">
      <formula>0</formula>
    </cfRule>
  </conditionalFormatting>
  <conditionalFormatting sqref="AB24:AB64">
    <cfRule type="cellIs" dxfId="5" priority="7" operator="notEqual">
      <formula>0</formula>
    </cfRule>
  </conditionalFormatting>
  <conditionalFormatting sqref="AC24:AC64">
    <cfRule type="cellIs" dxfId="4" priority="6" operator="notEqual">
      <formula>0</formula>
    </cfRule>
  </conditionalFormatting>
  <conditionalFormatting sqref="C24:C64">
    <cfRule type="cellIs" dxfId="3" priority="5" operator="notEqual">
      <formula>0</formula>
    </cfRule>
  </conditionalFormatting>
  <conditionalFormatting sqref="J24:J34">
    <cfRule type="cellIs" dxfId="2" priority="4" operator="notEqual">
      <formula>0</formula>
    </cfRule>
  </conditionalFormatting>
  <conditionalFormatting sqref="K24:K64">
    <cfRule type="cellIs" dxfId="1" priority="2" operator="notEqual">
      <formula>0</formula>
    </cfRule>
  </conditionalFormatting>
  <conditionalFormatting sqref="I24:I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6" zoomScale="85" workbookViewId="0">
      <selection activeCell="AT26" sqref="AT26"/>
    </sheetView>
  </sheetViews>
  <sheetFormatPr defaultColWidth="9.140625" defaultRowHeight="15" x14ac:dyDescent="0.25"/>
  <cols>
    <col min="1" max="1" width="6.140625" style="61" customWidth="1"/>
    <col min="2" max="2" width="23.140625" style="61" customWidth="1"/>
    <col min="3" max="3" width="13.85546875" style="61" customWidth="1"/>
    <col min="4" max="4" width="15.140625" style="61" customWidth="1"/>
    <col min="5" max="12" width="7.7109375" style="61" customWidth="1"/>
    <col min="13" max="13" width="10.7109375" style="61" customWidth="1"/>
    <col min="14" max="14" width="61.42578125" style="61" customWidth="1"/>
    <col min="15" max="15" width="10.7109375"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18.5703125" style="61" customWidth="1"/>
    <col min="24" max="25" width="10.7109375" style="61" customWidth="1"/>
    <col min="26" max="26" width="7.7109375" style="61" customWidth="1"/>
    <col min="27" max="28" width="10.7109375" style="61" customWidth="1"/>
    <col min="29" max="29" width="13.28515625" style="61" customWidth="1"/>
    <col min="30" max="30" width="10.7109375" style="61" customWidth="1"/>
    <col min="31" max="31" width="15.85546875" style="61" customWidth="1"/>
    <col min="32" max="32" width="11.7109375" style="61" customWidth="1"/>
    <col min="33" max="33" width="11.5703125" style="61" customWidth="1"/>
    <col min="34" max="35" width="9.7109375" style="6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0.7109375" style="61" customWidth="1"/>
    <col min="48" max="48" width="15.7109375" style="61" customWidth="1"/>
    <col min="49" max="16384" width="9.140625" style="61"/>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row>
    <row r="6" spans="1:48" ht="18.75" x14ac:dyDescent="0.3">
      <c r="AV6" s="5"/>
    </row>
    <row r="7" spans="1:48" ht="18.75" x14ac:dyDescent="0.25">
      <c r="A7" s="315" t="s">
        <v>4</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x14ac:dyDescent="0.25">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17" t="s">
        <v>6</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x14ac:dyDescent="0.25">
      <c r="A12" s="324" t="str">
        <f>'1. паспорт местоположение'!A12:C12</f>
        <v>O_22-1256</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x14ac:dyDescent="0.25">
      <c r="A15"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17" t="s">
        <v>10</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x14ac:dyDescent="0.25">
      <c r="A21" s="394" t="s">
        <v>562</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ht="58.5" customHeight="1" x14ac:dyDescent="0.25">
      <c r="A22" s="395" t="s">
        <v>563</v>
      </c>
      <c r="B22" s="398" t="s">
        <v>564</v>
      </c>
      <c r="C22" s="395" t="s">
        <v>565</v>
      </c>
      <c r="D22" s="395" t="s">
        <v>566</v>
      </c>
      <c r="E22" s="401" t="s">
        <v>567</v>
      </c>
      <c r="F22" s="402"/>
      <c r="G22" s="402"/>
      <c r="H22" s="402"/>
      <c r="I22" s="402"/>
      <c r="J22" s="402"/>
      <c r="K22" s="402"/>
      <c r="L22" s="403"/>
      <c r="M22" s="395" t="s">
        <v>568</v>
      </c>
      <c r="N22" s="395" t="s">
        <v>569</v>
      </c>
      <c r="O22" s="395" t="s">
        <v>570</v>
      </c>
      <c r="P22" s="404" t="s">
        <v>571</v>
      </c>
      <c r="Q22" s="404" t="s">
        <v>572</v>
      </c>
      <c r="R22" s="404" t="s">
        <v>573</v>
      </c>
      <c r="S22" s="404" t="s">
        <v>574</v>
      </c>
      <c r="T22" s="404"/>
      <c r="U22" s="405" t="s">
        <v>575</v>
      </c>
      <c r="V22" s="405" t="s">
        <v>576</v>
      </c>
      <c r="W22" s="404" t="s">
        <v>577</v>
      </c>
      <c r="X22" s="404" t="s">
        <v>578</v>
      </c>
      <c r="Y22" s="404" t="s">
        <v>579</v>
      </c>
      <c r="Z22" s="406" t="s">
        <v>580</v>
      </c>
      <c r="AA22" s="404" t="s">
        <v>581</v>
      </c>
      <c r="AB22" s="404" t="s">
        <v>582</v>
      </c>
      <c r="AC22" s="404" t="s">
        <v>583</v>
      </c>
      <c r="AD22" s="404" t="s">
        <v>584</v>
      </c>
      <c r="AE22" s="404" t="s">
        <v>585</v>
      </c>
      <c r="AF22" s="404" t="s">
        <v>586</v>
      </c>
      <c r="AG22" s="404"/>
      <c r="AH22" s="404"/>
      <c r="AI22" s="404"/>
      <c r="AJ22" s="404"/>
      <c r="AK22" s="404"/>
      <c r="AL22" s="404" t="s">
        <v>587</v>
      </c>
      <c r="AM22" s="404"/>
      <c r="AN22" s="404"/>
      <c r="AO22" s="404"/>
      <c r="AP22" s="404" t="s">
        <v>588</v>
      </c>
      <c r="AQ22" s="404"/>
      <c r="AR22" s="404" t="s">
        <v>589</v>
      </c>
      <c r="AS22" s="404" t="s">
        <v>590</v>
      </c>
      <c r="AT22" s="404" t="s">
        <v>591</v>
      </c>
      <c r="AU22" s="404" t="s">
        <v>592</v>
      </c>
      <c r="AV22" s="409" t="s">
        <v>593</v>
      </c>
    </row>
    <row r="23" spans="1:48" ht="64.5" customHeight="1" x14ac:dyDescent="0.25">
      <c r="A23" s="396"/>
      <c r="B23" s="399"/>
      <c r="C23" s="396"/>
      <c r="D23" s="396"/>
      <c r="E23" s="411" t="s">
        <v>594</v>
      </c>
      <c r="F23" s="413" t="s">
        <v>394</v>
      </c>
      <c r="G23" s="413" t="s">
        <v>547</v>
      </c>
      <c r="H23" s="413" t="s">
        <v>549</v>
      </c>
      <c r="I23" s="415" t="s">
        <v>595</v>
      </c>
      <c r="J23" s="415" t="s">
        <v>596</v>
      </c>
      <c r="K23" s="415" t="s">
        <v>597</v>
      </c>
      <c r="L23" s="413" t="s">
        <v>310</v>
      </c>
      <c r="M23" s="396"/>
      <c r="N23" s="396"/>
      <c r="O23" s="396"/>
      <c r="P23" s="404"/>
      <c r="Q23" s="404"/>
      <c r="R23" s="404"/>
      <c r="S23" s="417" t="s">
        <v>419</v>
      </c>
      <c r="T23" s="417" t="s">
        <v>492</v>
      </c>
      <c r="U23" s="405"/>
      <c r="V23" s="405"/>
      <c r="W23" s="404"/>
      <c r="X23" s="404"/>
      <c r="Y23" s="404"/>
      <c r="Z23" s="404"/>
      <c r="AA23" s="404"/>
      <c r="AB23" s="404"/>
      <c r="AC23" s="404"/>
      <c r="AD23" s="404"/>
      <c r="AE23" s="404"/>
      <c r="AF23" s="404" t="s">
        <v>598</v>
      </c>
      <c r="AG23" s="404"/>
      <c r="AH23" s="404" t="s">
        <v>599</v>
      </c>
      <c r="AI23" s="404"/>
      <c r="AJ23" s="395" t="s">
        <v>600</v>
      </c>
      <c r="AK23" s="395" t="s">
        <v>601</v>
      </c>
      <c r="AL23" s="395" t="s">
        <v>602</v>
      </c>
      <c r="AM23" s="395" t="s">
        <v>603</v>
      </c>
      <c r="AN23" s="395" t="s">
        <v>604</v>
      </c>
      <c r="AO23" s="395" t="s">
        <v>605</v>
      </c>
      <c r="AP23" s="395" t="s">
        <v>606</v>
      </c>
      <c r="AQ23" s="407" t="s">
        <v>492</v>
      </c>
      <c r="AR23" s="404"/>
      <c r="AS23" s="404"/>
      <c r="AT23" s="404"/>
      <c r="AU23" s="404"/>
      <c r="AV23" s="410"/>
    </row>
    <row r="24" spans="1:48" ht="96.75" customHeight="1" x14ac:dyDescent="0.25">
      <c r="A24" s="397"/>
      <c r="B24" s="400"/>
      <c r="C24" s="397"/>
      <c r="D24" s="397"/>
      <c r="E24" s="412"/>
      <c r="F24" s="414"/>
      <c r="G24" s="414"/>
      <c r="H24" s="414"/>
      <c r="I24" s="416"/>
      <c r="J24" s="416"/>
      <c r="K24" s="416"/>
      <c r="L24" s="414"/>
      <c r="M24" s="397"/>
      <c r="N24" s="397"/>
      <c r="O24" s="397"/>
      <c r="P24" s="404"/>
      <c r="Q24" s="404"/>
      <c r="R24" s="404"/>
      <c r="S24" s="418"/>
      <c r="T24" s="418"/>
      <c r="U24" s="405"/>
      <c r="V24" s="405"/>
      <c r="W24" s="404"/>
      <c r="X24" s="404"/>
      <c r="Y24" s="404"/>
      <c r="Z24" s="404"/>
      <c r="AA24" s="404"/>
      <c r="AB24" s="404"/>
      <c r="AC24" s="404"/>
      <c r="AD24" s="404"/>
      <c r="AE24" s="404"/>
      <c r="AF24" s="252" t="s">
        <v>607</v>
      </c>
      <c r="AG24" s="252" t="s">
        <v>608</v>
      </c>
      <c r="AH24" s="253" t="s">
        <v>419</v>
      </c>
      <c r="AI24" s="253" t="s">
        <v>492</v>
      </c>
      <c r="AJ24" s="397"/>
      <c r="AK24" s="397"/>
      <c r="AL24" s="397"/>
      <c r="AM24" s="397"/>
      <c r="AN24" s="397"/>
      <c r="AO24" s="397"/>
      <c r="AP24" s="397"/>
      <c r="AQ24" s="408"/>
      <c r="AR24" s="404"/>
      <c r="AS24" s="404"/>
      <c r="AT24" s="404"/>
      <c r="AU24" s="404"/>
      <c r="AV24" s="410"/>
    </row>
    <row r="25" spans="1:48" s="254" customFormat="1" ht="11.25" x14ac:dyDescent="0.2">
      <c r="A25" s="255">
        <v>1</v>
      </c>
      <c r="B25" s="255">
        <v>2</v>
      </c>
      <c r="C25" s="255">
        <v>4</v>
      </c>
      <c r="D25" s="255">
        <v>5</v>
      </c>
      <c r="E25" s="255">
        <v>6</v>
      </c>
      <c r="F25" s="255">
        <f>E25+1</f>
        <v>7</v>
      </c>
      <c r="G25" s="255">
        <f t="shared" ref="G25:H25" si="0">F25+1</f>
        <v>8</v>
      </c>
      <c r="H25" s="255">
        <f t="shared" si="0"/>
        <v>9</v>
      </c>
      <c r="I25" s="255">
        <f t="shared" ref="I25:AV25" si="1">H25+1</f>
        <v>10</v>
      </c>
      <c r="J25" s="255">
        <f t="shared" si="1"/>
        <v>11</v>
      </c>
      <c r="K25" s="255">
        <f t="shared" si="1"/>
        <v>12</v>
      </c>
      <c r="L25" s="255">
        <f t="shared" si="1"/>
        <v>13</v>
      </c>
      <c r="M25" s="255">
        <f t="shared" si="1"/>
        <v>14</v>
      </c>
      <c r="N25" s="255">
        <f t="shared" si="1"/>
        <v>15</v>
      </c>
      <c r="O25" s="255">
        <f t="shared" si="1"/>
        <v>16</v>
      </c>
      <c r="P25" s="255">
        <f t="shared" si="1"/>
        <v>17</v>
      </c>
      <c r="Q25" s="255">
        <f t="shared" si="1"/>
        <v>18</v>
      </c>
      <c r="R25" s="255">
        <f t="shared" si="1"/>
        <v>19</v>
      </c>
      <c r="S25" s="255">
        <f t="shared" si="1"/>
        <v>20</v>
      </c>
      <c r="T25" s="255">
        <f t="shared" si="1"/>
        <v>21</v>
      </c>
      <c r="U25" s="255">
        <f t="shared" si="1"/>
        <v>22</v>
      </c>
      <c r="V25" s="255">
        <f t="shared" si="1"/>
        <v>23</v>
      </c>
      <c r="W25" s="255">
        <f t="shared" si="1"/>
        <v>24</v>
      </c>
      <c r="X25" s="255">
        <f t="shared" si="1"/>
        <v>25</v>
      </c>
      <c r="Y25" s="255">
        <f t="shared" si="1"/>
        <v>26</v>
      </c>
      <c r="Z25" s="255">
        <f t="shared" si="1"/>
        <v>27</v>
      </c>
      <c r="AA25" s="255">
        <f t="shared" si="1"/>
        <v>28</v>
      </c>
      <c r="AB25" s="255">
        <f t="shared" si="1"/>
        <v>29</v>
      </c>
      <c r="AC25" s="255">
        <f t="shared" si="1"/>
        <v>30</v>
      </c>
      <c r="AD25" s="255">
        <f t="shared" si="1"/>
        <v>31</v>
      </c>
      <c r="AE25" s="255">
        <f t="shared" si="1"/>
        <v>32</v>
      </c>
      <c r="AF25" s="255">
        <f t="shared" si="1"/>
        <v>33</v>
      </c>
      <c r="AG25" s="255">
        <f t="shared" si="1"/>
        <v>34</v>
      </c>
      <c r="AH25" s="255">
        <f t="shared" si="1"/>
        <v>35</v>
      </c>
      <c r="AI25" s="255">
        <f t="shared" si="1"/>
        <v>36</v>
      </c>
      <c r="AJ25" s="255">
        <f t="shared" si="1"/>
        <v>37</v>
      </c>
      <c r="AK25" s="255">
        <f t="shared" si="1"/>
        <v>38</v>
      </c>
      <c r="AL25" s="255">
        <f t="shared" si="1"/>
        <v>39</v>
      </c>
      <c r="AM25" s="255">
        <f t="shared" si="1"/>
        <v>40</v>
      </c>
      <c r="AN25" s="255">
        <f t="shared" si="1"/>
        <v>41</v>
      </c>
      <c r="AO25" s="255">
        <f t="shared" si="1"/>
        <v>42</v>
      </c>
      <c r="AP25" s="255">
        <f t="shared" si="1"/>
        <v>43</v>
      </c>
      <c r="AQ25" s="255">
        <f t="shared" si="1"/>
        <v>44</v>
      </c>
      <c r="AR25" s="255">
        <f t="shared" si="1"/>
        <v>45</v>
      </c>
      <c r="AS25" s="255">
        <f t="shared" si="1"/>
        <v>46</v>
      </c>
      <c r="AT25" s="255">
        <f t="shared" si="1"/>
        <v>47</v>
      </c>
      <c r="AU25" s="255">
        <f t="shared" si="1"/>
        <v>48</v>
      </c>
      <c r="AV25" s="255">
        <f t="shared" si="1"/>
        <v>49</v>
      </c>
    </row>
    <row r="26" spans="1:48" s="254" customFormat="1" ht="112.5" x14ac:dyDescent="0.2">
      <c r="A26" s="256">
        <v>1</v>
      </c>
      <c r="B26" s="257" t="s">
        <v>609</v>
      </c>
      <c r="C26" s="258" t="s">
        <v>18</v>
      </c>
      <c r="D26" s="259">
        <f>'6.1. Паспорт сетевой график'!H53</f>
        <v>45657</v>
      </c>
      <c r="E26" s="260"/>
      <c r="F26" s="260"/>
      <c r="G26" s="260"/>
      <c r="H26" s="260"/>
      <c r="I26" s="260"/>
      <c r="J26" s="260"/>
      <c r="K26" s="260">
        <f>'3.2 паспорт Техсостояние ЛЭП'!R51</f>
        <v>9.5080000000000027</v>
      </c>
      <c r="L26" s="261"/>
      <c r="M26" s="262" t="s">
        <v>610</v>
      </c>
      <c r="N26" s="262" t="s">
        <v>611</v>
      </c>
      <c r="O26" s="257" t="s">
        <v>609</v>
      </c>
      <c r="P26" s="263">
        <v>146349.73000000001</v>
      </c>
      <c r="Q26" s="262" t="s">
        <v>612</v>
      </c>
      <c r="R26" s="263">
        <f>P26</f>
        <v>146349.73000000001</v>
      </c>
      <c r="S26" s="262" t="s">
        <v>613</v>
      </c>
      <c r="T26" s="262" t="s">
        <v>614</v>
      </c>
      <c r="U26" s="264">
        <v>3</v>
      </c>
      <c r="V26" s="264">
        <v>3</v>
      </c>
      <c r="W26" s="262" t="s">
        <v>615</v>
      </c>
      <c r="X26" s="263">
        <v>146349.73000000001</v>
      </c>
      <c r="Y26" s="262"/>
      <c r="Z26" s="265"/>
      <c r="AA26" s="263"/>
      <c r="AB26" s="263">
        <v>146349.73000000001</v>
      </c>
      <c r="AC26" s="263" t="s">
        <v>615</v>
      </c>
      <c r="AD26" s="263">
        <f>'8. Общие сведения'!B33*1000</f>
        <v>186388.9374</v>
      </c>
      <c r="AE26" s="263"/>
      <c r="AF26" s="264"/>
      <c r="AG26" s="262"/>
      <c r="AH26" s="265"/>
      <c r="AI26" s="265"/>
      <c r="AJ26" s="265"/>
      <c r="AK26" s="265"/>
      <c r="AL26" s="262"/>
      <c r="AM26" s="262"/>
      <c r="AN26" s="265"/>
      <c r="AO26" s="262"/>
      <c r="AP26" s="265">
        <v>45365</v>
      </c>
      <c r="AQ26" s="265">
        <v>45365</v>
      </c>
      <c r="AR26" s="265">
        <v>45365</v>
      </c>
      <c r="AS26" s="265">
        <v>45365</v>
      </c>
      <c r="AT26" s="265">
        <v>45536</v>
      </c>
      <c r="AU26" s="258"/>
      <c r="AV26" s="258"/>
    </row>
    <row r="27" spans="1:48" s="254" customFormat="1" ht="22.5" x14ac:dyDescent="0.2">
      <c r="A27" s="256"/>
      <c r="B27" s="257"/>
      <c r="C27" s="258"/>
      <c r="D27" s="259"/>
      <c r="E27" s="260"/>
      <c r="F27" s="260"/>
      <c r="G27" s="260"/>
      <c r="H27" s="260"/>
      <c r="I27" s="260"/>
      <c r="J27" s="260"/>
      <c r="K27" s="260"/>
      <c r="L27" s="261"/>
      <c r="M27" s="262"/>
      <c r="N27" s="262"/>
      <c r="O27" s="257"/>
      <c r="P27" s="263"/>
      <c r="Q27" s="262"/>
      <c r="R27" s="262"/>
      <c r="S27" s="262"/>
      <c r="T27" s="262"/>
      <c r="U27" s="264"/>
      <c r="V27" s="264"/>
      <c r="W27" s="262" t="s">
        <v>616</v>
      </c>
      <c r="X27" s="263">
        <v>155130.71299999999</v>
      </c>
      <c r="Y27" s="262"/>
      <c r="Z27" s="265"/>
      <c r="AA27" s="263"/>
      <c r="AB27" s="263"/>
      <c r="AC27" s="263"/>
      <c r="AD27" s="263"/>
      <c r="AE27" s="263"/>
      <c r="AF27" s="264"/>
      <c r="AG27" s="262"/>
      <c r="AH27" s="265"/>
      <c r="AI27" s="265"/>
      <c r="AJ27" s="265"/>
      <c r="AK27" s="265"/>
      <c r="AL27" s="262"/>
      <c r="AM27" s="262"/>
      <c r="AN27" s="265"/>
      <c r="AO27" s="262"/>
      <c r="AP27" s="265"/>
      <c r="AQ27" s="265"/>
      <c r="AR27" s="265"/>
      <c r="AS27" s="265"/>
      <c r="AT27" s="265"/>
      <c r="AU27" s="258"/>
      <c r="AV27" s="258"/>
    </row>
    <row r="28" spans="1:48" s="254" customFormat="1" ht="11.25" x14ac:dyDescent="0.2">
      <c r="A28" s="256"/>
      <c r="B28" s="257"/>
      <c r="C28" s="258"/>
      <c r="D28" s="259"/>
      <c r="E28" s="260"/>
      <c r="F28" s="260"/>
      <c r="G28" s="260"/>
      <c r="H28" s="260"/>
      <c r="I28" s="260"/>
      <c r="J28" s="260"/>
      <c r="K28" s="260"/>
      <c r="L28" s="261"/>
      <c r="M28" s="262"/>
      <c r="N28" s="262"/>
      <c r="O28" s="257"/>
      <c r="P28" s="263"/>
      <c r="Q28" s="262"/>
      <c r="R28" s="262"/>
      <c r="S28" s="262"/>
      <c r="T28" s="262"/>
      <c r="U28" s="264"/>
      <c r="V28" s="264"/>
      <c r="W28" s="262" t="s">
        <v>617</v>
      </c>
      <c r="X28" s="263">
        <v>147813.22700000001</v>
      </c>
      <c r="Y28" s="262"/>
      <c r="Z28" s="265"/>
      <c r="AA28" s="263"/>
      <c r="AB28" s="263"/>
      <c r="AC28" s="263"/>
      <c r="AD28" s="263"/>
      <c r="AE28" s="263"/>
      <c r="AF28" s="264"/>
      <c r="AG28" s="262"/>
      <c r="AH28" s="265"/>
      <c r="AI28" s="265"/>
      <c r="AJ28" s="265"/>
      <c r="AK28" s="265"/>
      <c r="AL28" s="262"/>
      <c r="AM28" s="262"/>
      <c r="AN28" s="265"/>
      <c r="AO28" s="262"/>
      <c r="AP28" s="265"/>
      <c r="AQ28" s="265"/>
      <c r="AR28" s="265"/>
      <c r="AS28" s="265"/>
      <c r="AT28" s="265"/>
      <c r="AU28" s="258"/>
      <c r="AV28" s="258"/>
    </row>
    <row r="29" spans="1:48" s="254" customFormat="1" ht="11.25" x14ac:dyDescent="0.2">
      <c r="A29" s="256"/>
      <c r="B29" s="257"/>
      <c r="C29" s="258"/>
      <c r="D29" s="259"/>
      <c r="E29" s="260"/>
      <c r="F29" s="260"/>
      <c r="G29" s="260"/>
      <c r="H29" s="260"/>
      <c r="I29" s="260"/>
      <c r="J29" s="260"/>
      <c r="K29" s="260"/>
      <c r="L29" s="261"/>
      <c r="M29" s="262"/>
      <c r="N29" s="262"/>
      <c r="O29" s="257"/>
      <c r="P29" s="263"/>
      <c r="Q29" s="262"/>
      <c r="R29" s="262"/>
      <c r="S29" s="262"/>
      <c r="T29" s="262"/>
      <c r="U29" s="264"/>
      <c r="V29" s="264"/>
      <c r="W29" s="262"/>
      <c r="X29" s="263"/>
      <c r="Y29" s="262"/>
      <c r="Z29" s="265"/>
      <c r="AA29" s="263"/>
      <c r="AB29" s="263"/>
      <c r="AC29" s="263"/>
      <c r="AD29" s="263"/>
      <c r="AE29" s="263"/>
      <c r="AF29" s="264"/>
      <c r="AG29" s="262"/>
      <c r="AH29" s="265"/>
      <c r="AI29" s="265"/>
      <c r="AJ29" s="265"/>
      <c r="AK29" s="265"/>
      <c r="AL29" s="262"/>
      <c r="AM29" s="262"/>
      <c r="AN29" s="265"/>
      <c r="AO29" s="262"/>
      <c r="AP29" s="265"/>
      <c r="AQ29" s="265"/>
      <c r="AR29" s="265"/>
      <c r="AS29" s="265"/>
      <c r="AT29" s="265"/>
      <c r="AU29" s="258"/>
      <c r="AV29" s="262"/>
    </row>
    <row r="30" spans="1:48" s="254" customFormat="1" ht="11.25" x14ac:dyDescent="0.2">
      <c r="A30" s="256"/>
      <c r="B30" s="257"/>
      <c r="C30" s="258"/>
      <c r="D30" s="259"/>
      <c r="E30" s="260"/>
      <c r="F30" s="260"/>
      <c r="G30" s="260"/>
      <c r="H30" s="260"/>
      <c r="I30" s="260"/>
      <c r="J30" s="260"/>
      <c r="K30" s="260"/>
      <c r="L30" s="261"/>
      <c r="M30" s="262"/>
      <c r="N30" s="262"/>
      <c r="O30" s="257"/>
      <c r="P30" s="266"/>
      <c r="Q30" s="258"/>
      <c r="R30" s="258"/>
      <c r="S30" s="258"/>
      <c r="T30" s="258"/>
      <c r="U30" s="256"/>
      <c r="V30" s="256"/>
      <c r="W30" s="262"/>
      <c r="X30" s="263"/>
      <c r="Y30" s="262"/>
      <c r="Z30" s="259"/>
      <c r="AA30" s="266"/>
      <c r="AB30" s="266"/>
      <c r="AC30" s="263"/>
      <c r="AD30" s="266"/>
      <c r="AE30" s="266"/>
      <c r="AF30" s="256"/>
      <c r="AG30" s="258"/>
      <c r="AH30" s="259"/>
      <c r="AI30" s="259"/>
      <c r="AJ30" s="259"/>
      <c r="AK30" s="259"/>
      <c r="AL30" s="258"/>
      <c r="AM30" s="258"/>
      <c r="AN30" s="259"/>
      <c r="AO30" s="258"/>
      <c r="AP30" s="259"/>
      <c r="AQ30" s="259"/>
      <c r="AR30" s="259"/>
      <c r="AS30" s="259"/>
      <c r="AT30" s="259"/>
      <c r="AU30" s="258"/>
      <c r="AV30" s="258"/>
    </row>
    <row r="31" spans="1:48" x14ac:dyDescent="0.25">
      <c r="AD31" s="267">
        <f>SUM(AD26:AD30)</f>
        <v>186388.9374</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0" zoomScale="80" zoomScaleSheetLayoutView="80" workbookViewId="0">
      <selection activeCell="B28" sqref="B28"/>
    </sheetView>
  </sheetViews>
  <sheetFormatPr defaultRowHeight="15.75" x14ac:dyDescent="0.25"/>
  <cols>
    <col min="1" max="2" width="66.140625" style="268" customWidth="1"/>
    <col min="3" max="3" width="9.140625" style="209" hidden="1" customWidth="1"/>
    <col min="4" max="256" width="8.85546875" style="209"/>
    <col min="257" max="258" width="66.140625" style="209" customWidth="1"/>
    <col min="259" max="512" width="8.85546875" style="209"/>
    <col min="513" max="514" width="66.140625" style="209" customWidth="1"/>
    <col min="515" max="768" width="8.85546875" style="209"/>
    <col min="769" max="770" width="66.140625" style="209" customWidth="1"/>
    <col min="771" max="1024" width="8.85546875" style="209"/>
    <col min="1025" max="1026" width="66.140625" style="209" customWidth="1"/>
    <col min="1027" max="1280" width="8.85546875" style="209"/>
    <col min="1281" max="1282" width="66.140625" style="209" customWidth="1"/>
    <col min="1283" max="1536" width="8.85546875" style="209"/>
    <col min="1537" max="1538" width="66.140625" style="209" customWidth="1"/>
    <col min="1539" max="1792" width="8.85546875" style="209"/>
    <col min="1793" max="1794" width="66.140625" style="209" customWidth="1"/>
    <col min="1795" max="2048" width="8.85546875" style="209"/>
    <col min="2049" max="2050" width="66.140625" style="209" customWidth="1"/>
    <col min="2051" max="2304" width="8.85546875" style="209"/>
    <col min="2305" max="2306" width="66.140625" style="209" customWidth="1"/>
    <col min="2307" max="2560" width="8.85546875" style="209"/>
    <col min="2561" max="2562" width="66.140625" style="209" customWidth="1"/>
    <col min="2563" max="2816" width="8.85546875" style="209"/>
    <col min="2817" max="2818" width="66.140625" style="209" customWidth="1"/>
    <col min="2819" max="3072" width="8.85546875" style="209"/>
    <col min="3073" max="3074" width="66.140625" style="209" customWidth="1"/>
    <col min="3075" max="3328" width="8.85546875" style="209"/>
    <col min="3329" max="3330" width="66.140625" style="209" customWidth="1"/>
    <col min="3331" max="3584" width="8.85546875" style="209"/>
    <col min="3585" max="3586" width="66.140625" style="209" customWidth="1"/>
    <col min="3587" max="3840" width="8.85546875" style="209"/>
    <col min="3841" max="3842" width="66.140625" style="209" customWidth="1"/>
    <col min="3843" max="4096" width="8.85546875" style="209"/>
    <col min="4097" max="4098" width="66.140625" style="209" customWidth="1"/>
    <col min="4099" max="4352" width="8.85546875" style="209"/>
    <col min="4353" max="4354" width="66.140625" style="209" customWidth="1"/>
    <col min="4355" max="4608" width="8.85546875" style="209"/>
    <col min="4609" max="4610" width="66.140625" style="209" customWidth="1"/>
    <col min="4611" max="4864" width="8.85546875" style="209"/>
    <col min="4865" max="4866" width="66.140625" style="209" customWidth="1"/>
    <col min="4867" max="5120" width="8.85546875" style="209"/>
    <col min="5121" max="5122" width="66.140625" style="209" customWidth="1"/>
    <col min="5123" max="5376" width="8.85546875" style="209"/>
    <col min="5377" max="5378" width="66.140625" style="209" customWidth="1"/>
    <col min="5379" max="5632" width="8.85546875" style="209"/>
    <col min="5633" max="5634" width="66.140625" style="209" customWidth="1"/>
    <col min="5635" max="5888" width="8.85546875" style="209"/>
    <col min="5889" max="5890" width="66.140625" style="209" customWidth="1"/>
    <col min="5891" max="6144" width="8.85546875" style="209"/>
    <col min="6145" max="6146" width="66.140625" style="209" customWidth="1"/>
    <col min="6147" max="6400" width="8.85546875" style="209"/>
    <col min="6401" max="6402" width="66.140625" style="209" customWidth="1"/>
    <col min="6403" max="6656" width="8.85546875" style="209"/>
    <col min="6657" max="6658" width="66.140625" style="209" customWidth="1"/>
    <col min="6659" max="6912" width="8.85546875" style="209"/>
    <col min="6913" max="6914" width="66.140625" style="209" customWidth="1"/>
    <col min="6915" max="7168" width="8.85546875" style="209"/>
    <col min="7169" max="7170" width="66.140625" style="209" customWidth="1"/>
    <col min="7171" max="7424" width="8.85546875" style="209"/>
    <col min="7425" max="7426" width="66.140625" style="209" customWidth="1"/>
    <col min="7427" max="7680" width="8.85546875" style="209"/>
    <col min="7681" max="7682" width="66.140625" style="209" customWidth="1"/>
    <col min="7683" max="7936" width="8.85546875" style="209"/>
    <col min="7937" max="7938" width="66.140625" style="209" customWidth="1"/>
    <col min="7939" max="8192" width="8.85546875" style="209"/>
    <col min="8193" max="8194" width="66.140625" style="209" customWidth="1"/>
    <col min="8195" max="8448" width="8.85546875" style="209"/>
    <col min="8449" max="8450" width="66.140625" style="209" customWidth="1"/>
    <col min="8451" max="8704" width="8.85546875" style="209"/>
    <col min="8705" max="8706" width="66.140625" style="209" customWidth="1"/>
    <col min="8707" max="8960" width="8.85546875" style="209"/>
    <col min="8961" max="8962" width="66.140625" style="209" customWidth="1"/>
    <col min="8963" max="9216" width="8.85546875" style="209"/>
    <col min="9217" max="9218" width="66.140625" style="209" customWidth="1"/>
    <col min="9219" max="9472" width="8.85546875" style="209"/>
    <col min="9473" max="9474" width="66.140625" style="209" customWidth="1"/>
    <col min="9475" max="9728" width="8.85546875" style="209"/>
    <col min="9729" max="9730" width="66.140625" style="209" customWidth="1"/>
    <col min="9731" max="9984" width="8.85546875" style="209"/>
    <col min="9985" max="9986" width="66.140625" style="209" customWidth="1"/>
    <col min="9987" max="10240" width="8.85546875" style="209"/>
    <col min="10241" max="10242" width="66.140625" style="209" customWidth="1"/>
    <col min="10243" max="10496" width="8.85546875" style="209"/>
    <col min="10497" max="10498" width="66.140625" style="209" customWidth="1"/>
    <col min="10499" max="10752" width="8.85546875" style="209"/>
    <col min="10753" max="10754" width="66.140625" style="209" customWidth="1"/>
    <col min="10755" max="11008" width="8.85546875" style="209"/>
    <col min="11009" max="11010" width="66.140625" style="209" customWidth="1"/>
    <col min="11011" max="11264" width="8.85546875" style="209"/>
    <col min="11265" max="11266" width="66.140625" style="209" customWidth="1"/>
    <col min="11267" max="11520" width="8.85546875" style="209"/>
    <col min="11521" max="11522" width="66.140625" style="209" customWidth="1"/>
    <col min="11523" max="11776" width="8.85546875" style="209"/>
    <col min="11777" max="11778" width="66.140625" style="209" customWidth="1"/>
    <col min="11779" max="12032" width="8.85546875" style="209"/>
    <col min="12033" max="12034" width="66.140625" style="209" customWidth="1"/>
    <col min="12035" max="12288" width="8.85546875" style="209"/>
    <col min="12289" max="12290" width="66.140625" style="209" customWidth="1"/>
    <col min="12291" max="12544" width="8.85546875" style="209"/>
    <col min="12545" max="12546" width="66.140625" style="209" customWidth="1"/>
    <col min="12547" max="12800" width="8.85546875" style="209"/>
    <col min="12801" max="12802" width="66.140625" style="209" customWidth="1"/>
    <col min="12803" max="13056" width="8.85546875" style="209"/>
    <col min="13057" max="13058" width="66.140625" style="209" customWidth="1"/>
    <col min="13059" max="13312" width="8.85546875" style="209"/>
    <col min="13313" max="13314" width="66.140625" style="209" customWidth="1"/>
    <col min="13315" max="13568" width="8.85546875" style="209"/>
    <col min="13569" max="13570" width="66.140625" style="209" customWidth="1"/>
    <col min="13571" max="13824" width="8.85546875" style="209"/>
    <col min="13825" max="13826" width="66.140625" style="209" customWidth="1"/>
    <col min="13827" max="14080" width="8.85546875" style="209"/>
    <col min="14081" max="14082" width="66.140625" style="209" customWidth="1"/>
    <col min="14083" max="14336" width="8.85546875" style="209"/>
    <col min="14337" max="14338" width="66.140625" style="209" customWidth="1"/>
    <col min="14339" max="14592" width="8.85546875" style="209"/>
    <col min="14593" max="14594" width="66.140625" style="209" customWidth="1"/>
    <col min="14595" max="14848" width="8.85546875" style="209"/>
    <col min="14849" max="14850" width="66.140625" style="209" customWidth="1"/>
    <col min="14851" max="15104" width="8.85546875" style="209"/>
    <col min="15105" max="15106" width="66.140625" style="209" customWidth="1"/>
    <col min="15107" max="15360" width="8.85546875" style="209"/>
    <col min="15361" max="15362" width="66.140625" style="209" customWidth="1"/>
    <col min="15363" max="15616" width="8.85546875" style="209"/>
    <col min="15617" max="15618" width="66.140625" style="209" customWidth="1"/>
    <col min="15619" max="15872" width="8.85546875" style="209"/>
    <col min="15873" max="15874" width="66.140625" style="209" customWidth="1"/>
    <col min="15875" max="16128" width="8.85546875" style="209"/>
    <col min="16129" max="16130" width="66.140625" style="209" customWidth="1"/>
    <col min="16131" max="16384" width="8.85546875" style="209"/>
  </cols>
  <sheetData>
    <row r="1" spans="1:8" ht="18.75" x14ac:dyDescent="0.25">
      <c r="B1" s="4" t="s">
        <v>0</v>
      </c>
    </row>
    <row r="2" spans="1:8" ht="18.75" x14ac:dyDescent="0.3">
      <c r="B2" s="5" t="s">
        <v>1</v>
      </c>
    </row>
    <row r="3" spans="1:8" ht="18.75" x14ac:dyDescent="0.3">
      <c r="B3" s="5" t="s">
        <v>618</v>
      </c>
    </row>
    <row r="4" spans="1:8" x14ac:dyDescent="0.25">
      <c r="B4" s="211"/>
    </row>
    <row r="5" spans="1:8" ht="18.75" x14ac:dyDescent="0.3">
      <c r="A5" s="419" t="str">
        <f>'1. паспорт местоположение'!A5:C5</f>
        <v>Год раскрытия информации: 2025 год</v>
      </c>
      <c r="B5" s="419"/>
      <c r="C5" s="270"/>
      <c r="D5" s="270"/>
      <c r="E5" s="270"/>
      <c r="F5" s="270"/>
      <c r="G5" s="270"/>
      <c r="H5" s="270"/>
    </row>
    <row r="6" spans="1:8" ht="18.75" x14ac:dyDescent="0.3">
      <c r="A6" s="269"/>
      <c r="B6" s="269"/>
      <c r="C6" s="269"/>
      <c r="D6" s="269"/>
      <c r="E6" s="269"/>
      <c r="F6" s="269"/>
      <c r="G6" s="269"/>
      <c r="H6" s="269"/>
    </row>
    <row r="7" spans="1:8" ht="18.75" x14ac:dyDescent="0.25">
      <c r="A7" s="315" t="s">
        <v>4</v>
      </c>
      <c r="B7" s="315"/>
      <c r="C7" s="10"/>
      <c r="D7" s="10"/>
      <c r="E7" s="10"/>
      <c r="F7" s="10"/>
      <c r="G7" s="10"/>
      <c r="H7" s="10"/>
    </row>
    <row r="8" spans="1:8" ht="18.75" x14ac:dyDescent="0.25">
      <c r="A8" s="10"/>
      <c r="B8" s="10"/>
      <c r="C8" s="10"/>
      <c r="D8" s="10"/>
      <c r="E8" s="10"/>
      <c r="F8" s="10"/>
      <c r="G8" s="10"/>
      <c r="H8" s="10"/>
    </row>
    <row r="9" spans="1:8" x14ac:dyDescent="0.25">
      <c r="A9" s="420" t="str">
        <f>'1. паспорт местоположение'!A9:C9</f>
        <v>Акционерное общество "Россети Янтарь" ДЗО  ПАО "Россети"</v>
      </c>
      <c r="B9" s="420"/>
      <c r="C9" s="11"/>
      <c r="D9" s="11"/>
      <c r="E9" s="11"/>
      <c r="F9" s="11"/>
      <c r="G9" s="11"/>
      <c r="H9" s="11"/>
    </row>
    <row r="10" spans="1:8" x14ac:dyDescent="0.25">
      <c r="A10" s="317" t="s">
        <v>6</v>
      </c>
      <c r="B10" s="317"/>
      <c r="C10" s="13"/>
      <c r="D10" s="13"/>
      <c r="E10" s="13"/>
      <c r="F10" s="13"/>
      <c r="G10" s="13"/>
      <c r="H10" s="13"/>
    </row>
    <row r="11" spans="1:8" ht="18.75" x14ac:dyDescent="0.25">
      <c r="A11" s="10"/>
      <c r="B11" s="10"/>
      <c r="C11" s="10"/>
      <c r="D11" s="10"/>
      <c r="E11" s="10"/>
      <c r="F11" s="10"/>
      <c r="G11" s="10"/>
      <c r="H11" s="10"/>
    </row>
    <row r="12" spans="1:8" x14ac:dyDescent="0.25">
      <c r="A12" s="420" t="str">
        <f>'1. паспорт местоположение'!A12:C12</f>
        <v>O_22-1256</v>
      </c>
      <c r="B12" s="420"/>
      <c r="C12" s="11"/>
      <c r="D12" s="11"/>
      <c r="E12" s="11"/>
      <c r="F12" s="11"/>
      <c r="G12" s="11"/>
      <c r="H12" s="11"/>
    </row>
    <row r="13" spans="1:8" x14ac:dyDescent="0.25">
      <c r="A13" s="317" t="s">
        <v>8</v>
      </c>
      <c r="B13" s="317"/>
      <c r="C13" s="13"/>
      <c r="D13" s="13"/>
      <c r="E13" s="13"/>
      <c r="F13" s="13"/>
      <c r="G13" s="13"/>
      <c r="H13" s="13"/>
    </row>
    <row r="14" spans="1:8" ht="18.75" x14ac:dyDescent="0.25">
      <c r="A14" s="60"/>
      <c r="B14" s="60"/>
      <c r="C14" s="60"/>
      <c r="D14" s="60"/>
      <c r="E14" s="60"/>
      <c r="F14" s="60"/>
      <c r="G14" s="60"/>
      <c r="H14" s="60"/>
    </row>
    <row r="15" spans="1:8" ht="95.25" customHeight="1" x14ac:dyDescent="0.25">
      <c r="A15" s="421" t="str">
        <f>'1. паспорт местоположение'!A15:C15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421"/>
      <c r="C15" s="11"/>
      <c r="D15" s="11"/>
      <c r="E15" s="11"/>
      <c r="F15" s="11"/>
      <c r="G15" s="11"/>
      <c r="H15" s="11"/>
    </row>
    <row r="16" spans="1:8" x14ac:dyDescent="0.25">
      <c r="A16" s="317" t="s">
        <v>10</v>
      </c>
      <c r="B16" s="317"/>
      <c r="C16" s="13"/>
      <c r="D16" s="13"/>
      <c r="E16" s="13"/>
      <c r="F16" s="13"/>
      <c r="G16" s="13"/>
      <c r="H16" s="13"/>
    </row>
    <row r="17" spans="1:2" x14ac:dyDescent="0.25">
      <c r="B17" s="271"/>
    </row>
    <row r="18" spans="1:2" x14ac:dyDescent="0.25">
      <c r="A18" s="422" t="s">
        <v>619</v>
      </c>
      <c r="B18" s="423"/>
    </row>
    <row r="19" spans="1:2" x14ac:dyDescent="0.25">
      <c r="B19" s="211"/>
    </row>
    <row r="20" spans="1:2" x14ac:dyDescent="0.25">
      <c r="B20" s="272"/>
    </row>
    <row r="21" spans="1:2" ht="165" x14ac:dyDescent="0.25">
      <c r="A21" s="273" t="s">
        <v>620</v>
      </c>
      <c r="B21" s="274" t="str">
        <f>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row>
    <row r="22" spans="1:2" x14ac:dyDescent="0.25">
      <c r="A22" s="273" t="s">
        <v>621</v>
      </c>
      <c r="B22" s="274" t="str">
        <f>CONCATENATE('1. паспорт местоположение'!C26,", ",'1. паспорт местоположение'!C27)</f>
        <v>Калининградская область, Городской округ "Город Калининград"</v>
      </c>
    </row>
    <row r="23" spans="1:2" x14ac:dyDescent="0.25">
      <c r="A23" s="273" t="s">
        <v>622</v>
      </c>
      <c r="B23" s="275" t="s">
        <v>623</v>
      </c>
    </row>
    <row r="24" spans="1:2" x14ac:dyDescent="0.25">
      <c r="A24" s="273" t="s">
        <v>624</v>
      </c>
      <c r="B24" s="275" t="str">
        <f>CONCATENATE('3.2 паспорт Техсостояние ЛЭП'!R51," (",'3.2 паспорт Техсостояние ЛЭП'!S51,") км")</f>
        <v>9,508 (0) км</v>
      </c>
    </row>
    <row r="25" spans="1:2" x14ac:dyDescent="0.25">
      <c r="A25" s="276" t="s">
        <v>625</v>
      </c>
      <c r="B25" s="274">
        <v>2024</v>
      </c>
    </row>
    <row r="26" spans="1:2" x14ac:dyDescent="0.25">
      <c r="A26" s="277" t="s">
        <v>626</v>
      </c>
      <c r="B26" s="275" t="s">
        <v>214</v>
      </c>
    </row>
    <row r="27" spans="1:2" ht="28.5" x14ac:dyDescent="0.25">
      <c r="A27" s="278" t="s">
        <v>627</v>
      </c>
      <c r="B27" s="279">
        <v>210.93753086000001</v>
      </c>
    </row>
    <row r="28" spans="1:2" x14ac:dyDescent="0.25">
      <c r="A28" s="280" t="s">
        <v>628</v>
      </c>
      <c r="B28" s="280" t="s">
        <v>629</v>
      </c>
    </row>
    <row r="29" spans="1:2" ht="28.5" x14ac:dyDescent="0.25">
      <c r="A29" s="281" t="s">
        <v>630</v>
      </c>
      <c r="B29" s="282">
        <f>'7. Паспорт отчет о закупке'!AD31/1000</f>
        <v>186.3889374</v>
      </c>
    </row>
    <row r="30" spans="1:2" ht="28.5" x14ac:dyDescent="0.25">
      <c r="A30" s="281" t="s">
        <v>631</v>
      </c>
      <c r="B30" s="282">
        <f>B32+B41+B58</f>
        <v>191.97854527999999</v>
      </c>
    </row>
    <row r="31" spans="1:2" x14ac:dyDescent="0.25">
      <c r="A31" s="280" t="s">
        <v>632</v>
      </c>
      <c r="B31" s="282"/>
    </row>
    <row r="32" spans="1:2" ht="28.5" x14ac:dyDescent="0.25">
      <c r="A32" s="281" t="s">
        <v>633</v>
      </c>
      <c r="B32" s="282">
        <f>B33+B37</f>
        <v>186.3889374</v>
      </c>
    </row>
    <row r="33" spans="1:3" s="283" customFormat="1" ht="30" x14ac:dyDescent="0.25">
      <c r="A33" s="284" t="s">
        <v>634</v>
      </c>
      <c r="B33" s="285">
        <f>192.78212087*0+B36</f>
        <v>186.3889374</v>
      </c>
    </row>
    <row r="34" spans="1:3" x14ac:dyDescent="0.25">
      <c r="A34" s="280" t="s">
        <v>635</v>
      </c>
      <c r="B34" s="286">
        <f>B33/$B$27</f>
        <v>0.88362149988238459</v>
      </c>
    </row>
    <row r="35" spans="1:3" x14ac:dyDescent="0.25">
      <c r="A35" s="280" t="s">
        <v>636</v>
      </c>
      <c r="B35" s="282">
        <f>138.78280185+47.60613555</f>
        <v>186.3889374</v>
      </c>
      <c r="C35" s="209">
        <v>1</v>
      </c>
    </row>
    <row r="36" spans="1:3" x14ac:dyDescent="0.25">
      <c r="A36" s="280" t="s">
        <v>637</v>
      </c>
      <c r="B36" s="282">
        <v>186.3889374</v>
      </c>
      <c r="C36" s="209">
        <v>2</v>
      </c>
    </row>
    <row r="37" spans="1:3" s="283" customFormat="1" x14ac:dyDescent="0.25">
      <c r="A37" s="287" t="s">
        <v>638</v>
      </c>
      <c r="B37" s="288">
        <v>0</v>
      </c>
    </row>
    <row r="38" spans="1:3" x14ac:dyDescent="0.25">
      <c r="A38" s="280" t="s">
        <v>635</v>
      </c>
      <c r="B38" s="286">
        <f>B37/$B$27</f>
        <v>0</v>
      </c>
    </row>
    <row r="39" spans="1:3" x14ac:dyDescent="0.25">
      <c r="A39" s="280" t="s">
        <v>636</v>
      </c>
      <c r="B39" s="282">
        <v>0</v>
      </c>
      <c r="C39" s="209">
        <v>1</v>
      </c>
    </row>
    <row r="40" spans="1:3" x14ac:dyDescent="0.25">
      <c r="A40" s="280" t="s">
        <v>637</v>
      </c>
      <c r="B40" s="282">
        <v>0</v>
      </c>
      <c r="C40" s="209">
        <v>2</v>
      </c>
    </row>
    <row r="41" spans="1:3" ht="28.5" x14ac:dyDescent="0.25">
      <c r="A41" s="281" t="s">
        <v>639</v>
      </c>
      <c r="B41" s="282">
        <f>B42+B46+B50+B54</f>
        <v>0</v>
      </c>
    </row>
    <row r="42" spans="1:3" s="283" customFormat="1" x14ac:dyDescent="0.25">
      <c r="A42" s="287" t="s">
        <v>638</v>
      </c>
      <c r="B42" s="288">
        <v>0</v>
      </c>
    </row>
    <row r="43" spans="1:3" x14ac:dyDescent="0.25">
      <c r="A43" s="280" t="s">
        <v>635</v>
      </c>
      <c r="B43" s="286">
        <f>B42/$B$27</f>
        <v>0</v>
      </c>
    </row>
    <row r="44" spans="1:3" x14ac:dyDescent="0.25">
      <c r="A44" s="280" t="s">
        <v>636</v>
      </c>
      <c r="B44" s="282">
        <v>0</v>
      </c>
      <c r="C44" s="209">
        <v>1</v>
      </c>
    </row>
    <row r="45" spans="1:3" x14ac:dyDescent="0.25">
      <c r="A45" s="280" t="s">
        <v>637</v>
      </c>
      <c r="B45" s="282">
        <v>0</v>
      </c>
      <c r="C45" s="209">
        <v>2</v>
      </c>
    </row>
    <row r="46" spans="1:3" s="283" customFormat="1" x14ac:dyDescent="0.25">
      <c r="A46" s="287" t="s">
        <v>638</v>
      </c>
      <c r="B46" s="288">
        <v>0</v>
      </c>
    </row>
    <row r="47" spans="1:3" x14ac:dyDescent="0.25">
      <c r="A47" s="280" t="s">
        <v>635</v>
      </c>
      <c r="B47" s="286">
        <f>B46/$B$27</f>
        <v>0</v>
      </c>
    </row>
    <row r="48" spans="1:3" x14ac:dyDescent="0.25">
      <c r="A48" s="280" t="s">
        <v>636</v>
      </c>
      <c r="B48" s="282">
        <v>0</v>
      </c>
      <c r="C48" s="209">
        <v>1</v>
      </c>
    </row>
    <row r="49" spans="1:3" x14ac:dyDescent="0.25">
      <c r="A49" s="280" t="s">
        <v>637</v>
      </c>
      <c r="B49" s="282">
        <v>0</v>
      </c>
      <c r="C49" s="209">
        <v>2</v>
      </c>
    </row>
    <row r="50" spans="1:3" s="283" customFormat="1" x14ac:dyDescent="0.25">
      <c r="A50" s="287" t="s">
        <v>638</v>
      </c>
      <c r="B50" s="288">
        <v>0</v>
      </c>
    </row>
    <row r="51" spans="1:3" x14ac:dyDescent="0.25">
      <c r="A51" s="280" t="s">
        <v>635</v>
      </c>
      <c r="B51" s="286">
        <f>B50/$B$27</f>
        <v>0</v>
      </c>
    </row>
    <row r="52" spans="1:3" x14ac:dyDescent="0.25">
      <c r="A52" s="280" t="s">
        <v>636</v>
      </c>
      <c r="B52" s="282">
        <v>0</v>
      </c>
      <c r="C52" s="209">
        <v>1</v>
      </c>
    </row>
    <row r="53" spans="1:3" x14ac:dyDescent="0.25">
      <c r="A53" s="280" t="s">
        <v>637</v>
      </c>
      <c r="B53" s="282">
        <v>0</v>
      </c>
      <c r="C53" s="209">
        <v>2</v>
      </c>
    </row>
    <row r="54" spans="1:3" s="283" customFormat="1" x14ac:dyDescent="0.25">
      <c r="A54" s="287" t="s">
        <v>638</v>
      </c>
      <c r="B54" s="288">
        <v>0</v>
      </c>
    </row>
    <row r="55" spans="1:3" x14ac:dyDescent="0.25">
      <c r="A55" s="280" t="s">
        <v>635</v>
      </c>
      <c r="B55" s="286">
        <f>B54/$B$27</f>
        <v>0</v>
      </c>
    </row>
    <row r="56" spans="1:3" x14ac:dyDescent="0.25">
      <c r="A56" s="280" t="s">
        <v>636</v>
      </c>
      <c r="B56" s="282">
        <v>0</v>
      </c>
      <c r="C56" s="209">
        <v>1</v>
      </c>
    </row>
    <row r="57" spans="1:3" x14ac:dyDescent="0.25">
      <c r="A57" s="280" t="s">
        <v>637</v>
      </c>
      <c r="B57" s="282">
        <v>0</v>
      </c>
      <c r="C57" s="209">
        <v>2</v>
      </c>
    </row>
    <row r="58" spans="1:3" ht="28.5" x14ac:dyDescent="0.25">
      <c r="A58" s="281" t="s">
        <v>640</v>
      </c>
      <c r="B58" s="282">
        <f>B59+B63+B67+B71</f>
        <v>5.58960788</v>
      </c>
    </row>
    <row r="59" spans="1:3" s="283" customFormat="1" ht="30" x14ac:dyDescent="0.25">
      <c r="A59" s="284" t="s">
        <v>641</v>
      </c>
      <c r="B59" s="285">
        <v>5.58960788</v>
      </c>
    </row>
    <row r="60" spans="1:3" x14ac:dyDescent="0.25">
      <c r="A60" s="280" t="s">
        <v>635</v>
      </c>
      <c r="B60" s="286">
        <f>B59/$B$27</f>
        <v>2.649887792471527E-2</v>
      </c>
    </row>
    <row r="61" spans="1:3" x14ac:dyDescent="0.25">
      <c r="A61" s="280" t="s">
        <v>636</v>
      </c>
      <c r="B61" s="282">
        <v>0</v>
      </c>
      <c r="C61" s="209">
        <v>1</v>
      </c>
    </row>
    <row r="62" spans="1:3" x14ac:dyDescent="0.25">
      <c r="A62" s="280" t="s">
        <v>637</v>
      </c>
      <c r="B62" s="282">
        <v>5.58960788</v>
      </c>
      <c r="C62" s="209">
        <v>2</v>
      </c>
    </row>
    <row r="63" spans="1:3" s="283" customFormat="1" x14ac:dyDescent="0.25">
      <c r="A63" s="287" t="s">
        <v>638</v>
      </c>
      <c r="B63" s="288">
        <v>0</v>
      </c>
    </row>
    <row r="64" spans="1:3" x14ac:dyDescent="0.25">
      <c r="A64" s="280" t="s">
        <v>635</v>
      </c>
      <c r="B64" s="286">
        <f>B63/$B$27</f>
        <v>0</v>
      </c>
    </row>
    <row r="65" spans="1:3" x14ac:dyDescent="0.25">
      <c r="A65" s="280" t="s">
        <v>636</v>
      </c>
      <c r="B65" s="282">
        <v>0</v>
      </c>
      <c r="C65" s="209">
        <v>1</v>
      </c>
    </row>
    <row r="66" spans="1:3" x14ac:dyDescent="0.25">
      <c r="A66" s="280" t="s">
        <v>637</v>
      </c>
      <c r="B66" s="282">
        <v>0</v>
      </c>
      <c r="C66" s="209">
        <v>2</v>
      </c>
    </row>
    <row r="67" spans="1:3" s="283" customFormat="1" x14ac:dyDescent="0.25">
      <c r="A67" s="287" t="s">
        <v>638</v>
      </c>
      <c r="B67" s="288">
        <v>0</v>
      </c>
    </row>
    <row r="68" spans="1:3" x14ac:dyDescent="0.25">
      <c r="A68" s="280" t="s">
        <v>635</v>
      </c>
      <c r="B68" s="286">
        <f>B67/$B$27</f>
        <v>0</v>
      </c>
    </row>
    <row r="69" spans="1:3" x14ac:dyDescent="0.25">
      <c r="A69" s="280" t="s">
        <v>636</v>
      </c>
      <c r="B69" s="282">
        <v>0</v>
      </c>
      <c r="C69" s="209">
        <v>1</v>
      </c>
    </row>
    <row r="70" spans="1:3" x14ac:dyDescent="0.25">
      <c r="A70" s="280" t="s">
        <v>637</v>
      </c>
      <c r="B70" s="282">
        <v>0</v>
      </c>
      <c r="C70" s="209">
        <v>2</v>
      </c>
    </row>
    <row r="71" spans="1:3" s="283" customFormat="1" x14ac:dyDescent="0.25">
      <c r="A71" s="287" t="s">
        <v>638</v>
      </c>
      <c r="B71" s="288">
        <v>0</v>
      </c>
    </row>
    <row r="72" spans="1:3" x14ac:dyDescent="0.25">
      <c r="A72" s="280" t="s">
        <v>635</v>
      </c>
      <c r="B72" s="286">
        <f>B71/$B$27</f>
        <v>0</v>
      </c>
    </row>
    <row r="73" spans="1:3" x14ac:dyDescent="0.25">
      <c r="A73" s="280" t="s">
        <v>636</v>
      </c>
      <c r="B73" s="282">
        <v>0</v>
      </c>
      <c r="C73" s="209">
        <v>1</v>
      </c>
    </row>
    <row r="74" spans="1:3" x14ac:dyDescent="0.25">
      <c r="A74" s="280" t="s">
        <v>637</v>
      </c>
      <c r="B74" s="282">
        <v>0</v>
      </c>
      <c r="C74" s="209">
        <v>2</v>
      </c>
    </row>
    <row r="75" spans="1:3" ht="28.5" x14ac:dyDescent="0.25">
      <c r="A75" s="289" t="s">
        <v>642</v>
      </c>
      <c r="B75" s="286">
        <f>B30/B27</f>
        <v>0.91012037780709987</v>
      </c>
    </row>
    <row r="76" spans="1:3" x14ac:dyDescent="0.25">
      <c r="A76" s="290" t="s">
        <v>632</v>
      </c>
      <c r="B76" s="286"/>
    </row>
    <row r="77" spans="1:3" x14ac:dyDescent="0.25">
      <c r="A77" s="290" t="s">
        <v>643</v>
      </c>
      <c r="B77" s="286">
        <f>B34</f>
        <v>0.88362149988238459</v>
      </c>
    </row>
    <row r="78" spans="1:3" x14ac:dyDescent="0.25">
      <c r="A78" s="290" t="s">
        <v>644</v>
      </c>
      <c r="B78" s="286"/>
    </row>
    <row r="79" spans="1:3" x14ac:dyDescent="0.25">
      <c r="A79" s="290" t="s">
        <v>645</v>
      </c>
      <c r="B79" s="286">
        <f>B60</f>
        <v>2.649887792471527E-2</v>
      </c>
    </row>
    <row r="80" spans="1:3" s="291" customFormat="1" ht="34.5" customHeight="1" x14ac:dyDescent="0.25">
      <c r="A80" s="292" t="s">
        <v>646</v>
      </c>
      <c r="B80" s="293">
        <f>B85+B81</f>
        <v>18.958985569999999</v>
      </c>
      <c r="C80" s="294"/>
    </row>
    <row r="81" spans="1:3" ht="30" x14ac:dyDescent="0.25">
      <c r="A81" s="284" t="s">
        <v>647</v>
      </c>
      <c r="B81" s="285">
        <v>1.2611842600000001</v>
      </c>
    </row>
    <row r="82" spans="1:3" x14ac:dyDescent="0.25">
      <c r="A82" s="280" t="s">
        <v>635</v>
      </c>
      <c r="B82" s="286">
        <f>B81/$B$27</f>
        <v>5.9789467282474855E-3</v>
      </c>
    </row>
    <row r="83" spans="1:3" x14ac:dyDescent="0.25">
      <c r="A83" s="280" t="s">
        <v>636</v>
      </c>
      <c r="B83" s="282">
        <f>B81</f>
        <v>1.2611842600000001</v>
      </c>
      <c r="C83" s="209">
        <v>1</v>
      </c>
    </row>
    <row r="84" spans="1:3" x14ac:dyDescent="0.25">
      <c r="A84" s="280" t="s">
        <v>637</v>
      </c>
      <c r="B84" s="282">
        <f>B81</f>
        <v>1.2611842600000001</v>
      </c>
      <c r="C84" s="209">
        <v>2</v>
      </c>
    </row>
    <row r="85" spans="1:3" ht="30" x14ac:dyDescent="0.25">
      <c r="A85" s="284" t="s">
        <v>648</v>
      </c>
      <c r="B85" s="285">
        <v>17.697801309999999</v>
      </c>
    </row>
    <row r="86" spans="1:3" x14ac:dyDescent="0.25">
      <c r="A86" s="280" t="s">
        <v>635</v>
      </c>
      <c r="B86" s="286">
        <f>B85/$B$27</f>
        <v>8.3900675417245177E-2</v>
      </c>
    </row>
    <row r="87" spans="1:3" x14ac:dyDescent="0.25">
      <c r="A87" s="280" t="s">
        <v>636</v>
      </c>
      <c r="B87" s="282">
        <f>B85</f>
        <v>17.697801309999999</v>
      </c>
      <c r="C87" s="209">
        <v>1</v>
      </c>
    </row>
    <row r="88" spans="1:3" x14ac:dyDescent="0.25">
      <c r="A88" s="280" t="s">
        <v>637</v>
      </c>
      <c r="B88" s="282">
        <f>B85</f>
        <v>17.697801309999999</v>
      </c>
      <c r="C88" s="209">
        <v>2</v>
      </c>
    </row>
    <row r="89" spans="1:3" x14ac:dyDescent="0.25">
      <c r="A89" s="276" t="s">
        <v>649</v>
      </c>
      <c r="B89" s="295">
        <f>B90/$B$27</f>
        <v>0.9735011220278772</v>
      </c>
    </row>
    <row r="90" spans="1:3" x14ac:dyDescent="0.25">
      <c r="A90" s="276" t="s">
        <v>650</v>
      </c>
      <c r="B90" s="296">
        <f>SUMIF(C33:C88, 1,B33:B88)</f>
        <v>205.34792296999998</v>
      </c>
      <c r="C90" s="297">
        <f>'6.2. Паспорт фин осв ввод'!D24-'6.2. Паспорт фин осв ввод'!F24</f>
        <v>-46.010633660000025</v>
      </c>
    </row>
    <row r="91" spans="1:3" x14ac:dyDescent="0.25">
      <c r="A91" s="276" t="s">
        <v>651</v>
      </c>
      <c r="B91" s="295">
        <f>B92/$B$27</f>
        <v>0.99999999995259248</v>
      </c>
    </row>
    <row r="92" spans="1:3" x14ac:dyDescent="0.25">
      <c r="A92" s="277" t="s">
        <v>652</v>
      </c>
      <c r="B92" s="296">
        <f>SUMIF(C33:C88, 2,B33:B88)</f>
        <v>210.93753084999997</v>
      </c>
      <c r="C92" s="297">
        <f>'6.2. Паспорт фин осв ввод'!D30-'6.2. Паспорт фин осв ввод'!F30</f>
        <v>5.9972734899999978</v>
      </c>
    </row>
    <row r="93" spans="1:3" ht="15.6" customHeight="1" x14ac:dyDescent="0.25">
      <c r="A93" s="289" t="s">
        <v>653</v>
      </c>
      <c r="B93" s="290" t="s">
        <v>654</v>
      </c>
    </row>
    <row r="94" spans="1:3" x14ac:dyDescent="0.25">
      <c r="A94" s="298" t="s">
        <v>655</v>
      </c>
      <c r="B94" s="298" t="s">
        <v>609</v>
      </c>
    </row>
    <row r="95" spans="1:3" x14ac:dyDescent="0.25">
      <c r="A95" s="298" t="s">
        <v>656</v>
      </c>
      <c r="B95" s="298" t="s">
        <v>657</v>
      </c>
    </row>
    <row r="96" spans="1:3" x14ac:dyDescent="0.25">
      <c r="A96" s="298" t="s">
        <v>658</v>
      </c>
      <c r="B96" s="298"/>
    </row>
    <row r="97" spans="1:2" ht="30" x14ac:dyDescent="0.25">
      <c r="A97" s="298" t="s">
        <v>659</v>
      </c>
      <c r="B97" s="298" t="s">
        <v>660</v>
      </c>
    </row>
    <row r="98" spans="1:2" x14ac:dyDescent="0.25">
      <c r="A98" s="299" t="s">
        <v>661</v>
      </c>
      <c r="B98" s="299"/>
    </row>
    <row r="99" spans="1:2" ht="30" x14ac:dyDescent="0.25">
      <c r="A99" s="290" t="s">
        <v>662</v>
      </c>
      <c r="B99" s="300" t="s">
        <v>23</v>
      </c>
    </row>
    <row r="100" spans="1:2" ht="28.5" x14ac:dyDescent="0.25">
      <c r="A100" s="276" t="s">
        <v>663</v>
      </c>
      <c r="B100" s="301">
        <v>7</v>
      </c>
    </row>
    <row r="101" spans="1:2" x14ac:dyDescent="0.25">
      <c r="A101" s="290" t="s">
        <v>632</v>
      </c>
      <c r="B101" s="302"/>
    </row>
    <row r="102" spans="1:2" x14ac:dyDescent="0.25">
      <c r="A102" s="290" t="s">
        <v>664</v>
      </c>
      <c r="B102" s="301">
        <v>4</v>
      </c>
    </row>
    <row r="103" spans="1:2" x14ac:dyDescent="0.25">
      <c r="A103" s="290" t="s">
        <v>665</v>
      </c>
      <c r="B103" s="302">
        <v>3</v>
      </c>
    </row>
    <row r="104" spans="1:2" x14ac:dyDescent="0.25">
      <c r="A104" s="303" t="s">
        <v>666</v>
      </c>
      <c r="B104" s="304" t="s">
        <v>60</v>
      </c>
    </row>
    <row r="105" spans="1:2" x14ac:dyDescent="0.25">
      <c r="A105" s="276" t="s">
        <v>667</v>
      </c>
      <c r="B105" s="305"/>
    </row>
    <row r="106" spans="1:2" x14ac:dyDescent="0.25">
      <c r="A106" s="298" t="s">
        <v>668</v>
      </c>
      <c r="B106" s="306" t="s">
        <v>60</v>
      </c>
    </row>
    <row r="107" spans="1:2" x14ac:dyDescent="0.25">
      <c r="A107" s="298" t="s">
        <v>669</v>
      </c>
      <c r="B107" s="306" t="s">
        <v>60</v>
      </c>
    </row>
    <row r="108" spans="1:2" x14ac:dyDescent="0.25">
      <c r="A108" s="298" t="s">
        <v>670</v>
      </c>
      <c r="B108" s="306" t="s">
        <v>60</v>
      </c>
    </row>
    <row r="109" spans="1:2" ht="30" x14ac:dyDescent="0.25">
      <c r="A109" s="307" t="s">
        <v>671</v>
      </c>
      <c r="B109" s="308" t="s">
        <v>672</v>
      </c>
    </row>
    <row r="110" spans="1:2" ht="28.5" x14ac:dyDescent="0.25">
      <c r="A110" s="289" t="s">
        <v>673</v>
      </c>
      <c r="B110" s="424" t="s">
        <v>60</v>
      </c>
    </row>
    <row r="111" spans="1:2" x14ac:dyDescent="0.25">
      <c r="A111" s="298" t="s">
        <v>674</v>
      </c>
      <c r="B111" s="425"/>
    </row>
    <row r="112" spans="1:2" x14ac:dyDescent="0.25">
      <c r="A112" s="298" t="s">
        <v>675</v>
      </c>
      <c r="B112" s="425"/>
    </row>
    <row r="113" spans="1:2" x14ac:dyDescent="0.25">
      <c r="A113" s="298" t="s">
        <v>676</v>
      </c>
      <c r="B113" s="425"/>
    </row>
    <row r="114" spans="1:2" x14ac:dyDescent="0.25">
      <c r="A114" s="298" t="s">
        <v>677</v>
      </c>
      <c r="B114" s="425"/>
    </row>
    <row r="115" spans="1:2" x14ac:dyDescent="0.25">
      <c r="A115" s="309" t="s">
        <v>678</v>
      </c>
      <c r="B115" s="426"/>
    </row>
    <row r="118" spans="1:2" x14ac:dyDescent="0.25">
      <c r="A118" s="310"/>
      <c r="B118" s="311"/>
    </row>
    <row r="119" spans="1:2" x14ac:dyDescent="0.25">
      <c r="B119" s="312"/>
    </row>
    <row r="120" spans="1:2" x14ac:dyDescent="0.25">
      <c r="B120" s="313"/>
    </row>
  </sheetData>
  <mergeCells count="10">
    <mergeCell ref="A13:B13"/>
    <mergeCell ref="A15:B15"/>
    <mergeCell ref="A16:B16"/>
    <mergeCell ref="A18:B18"/>
    <mergeCell ref="B110:B1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election activeCell="D33" sqref="D3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row>
    <row r="5" spans="1:28" s="2" customFormat="1" ht="15.75" x14ac:dyDescent="0.2">
      <c r="A5" s="6"/>
    </row>
    <row r="6" spans="1:28" s="2" customFormat="1" ht="18.75" x14ac:dyDescent="0.2">
      <c r="A6" s="315" t="s">
        <v>4</v>
      </c>
      <c r="B6" s="315"/>
      <c r="C6" s="315"/>
      <c r="D6" s="315"/>
      <c r="E6" s="315"/>
      <c r="F6" s="315"/>
      <c r="G6" s="315"/>
      <c r="H6" s="315"/>
      <c r="I6" s="315"/>
      <c r="J6" s="315"/>
      <c r="K6" s="315"/>
      <c r="L6" s="315"/>
      <c r="M6" s="315"/>
      <c r="N6" s="315"/>
      <c r="O6" s="315"/>
      <c r="P6" s="315"/>
      <c r="Q6" s="315"/>
      <c r="R6" s="315"/>
      <c r="S6" s="315"/>
      <c r="T6" s="10"/>
      <c r="U6" s="10"/>
      <c r="V6" s="10"/>
      <c r="W6" s="10"/>
      <c r="X6" s="10"/>
      <c r="Y6" s="10"/>
      <c r="Z6" s="10"/>
      <c r="AA6" s="10"/>
      <c r="AB6" s="10"/>
    </row>
    <row r="7" spans="1:28" s="2" customFormat="1" ht="18.75" x14ac:dyDescent="0.2">
      <c r="A7" s="315"/>
      <c r="B7" s="315"/>
      <c r="C7" s="315"/>
      <c r="D7" s="315"/>
      <c r="E7" s="315"/>
      <c r="F7" s="315"/>
      <c r="G7" s="315"/>
      <c r="H7" s="315"/>
      <c r="I7" s="315"/>
      <c r="J7" s="315"/>
      <c r="K7" s="315"/>
      <c r="L7" s="315"/>
      <c r="M7" s="315"/>
      <c r="N7" s="315"/>
      <c r="O7" s="315"/>
      <c r="P7" s="315"/>
      <c r="Q7" s="315"/>
      <c r="R7" s="315"/>
      <c r="S7" s="315"/>
      <c r="T7" s="10"/>
      <c r="U7" s="10"/>
      <c r="V7" s="10"/>
      <c r="W7" s="10"/>
      <c r="X7" s="10"/>
      <c r="Y7" s="10"/>
      <c r="Z7" s="10"/>
      <c r="AA7" s="10"/>
      <c r="AB7" s="10"/>
    </row>
    <row r="8" spans="1:28" s="2" customFormat="1" ht="18.75" x14ac:dyDescent="0.2">
      <c r="A8" s="324" t="str">
        <f>'1. паспорт местоположение'!A9:C9</f>
        <v>Акционерное общество "Россети Янтарь" ДЗО  ПАО "Россети"</v>
      </c>
      <c r="B8" s="324"/>
      <c r="C8" s="324"/>
      <c r="D8" s="324"/>
      <c r="E8" s="324"/>
      <c r="F8" s="324"/>
      <c r="G8" s="324"/>
      <c r="H8" s="324"/>
      <c r="I8" s="324"/>
      <c r="J8" s="324"/>
      <c r="K8" s="324"/>
      <c r="L8" s="324"/>
      <c r="M8" s="324"/>
      <c r="N8" s="324"/>
      <c r="O8" s="324"/>
      <c r="P8" s="324"/>
      <c r="Q8" s="324"/>
      <c r="R8" s="324"/>
      <c r="S8" s="324"/>
      <c r="T8" s="10"/>
      <c r="U8" s="10"/>
      <c r="V8" s="10"/>
      <c r="W8" s="10"/>
      <c r="X8" s="10"/>
      <c r="Y8" s="10"/>
      <c r="Z8" s="10"/>
      <c r="AA8" s="10"/>
      <c r="AB8" s="10"/>
    </row>
    <row r="9" spans="1:28" s="2" customFormat="1" ht="18.75" x14ac:dyDescent="0.2">
      <c r="A9" s="317" t="s">
        <v>6</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2" customFormat="1" ht="18.75" x14ac:dyDescent="0.2">
      <c r="A10" s="315"/>
      <c r="B10" s="315"/>
      <c r="C10" s="315"/>
      <c r="D10" s="315"/>
      <c r="E10" s="315"/>
      <c r="F10" s="315"/>
      <c r="G10" s="315"/>
      <c r="H10" s="315"/>
      <c r="I10" s="315"/>
      <c r="J10" s="315"/>
      <c r="K10" s="315"/>
      <c r="L10" s="315"/>
      <c r="M10" s="315"/>
      <c r="N10" s="315"/>
      <c r="O10" s="315"/>
      <c r="P10" s="315"/>
      <c r="Q10" s="315"/>
      <c r="R10" s="315"/>
      <c r="S10" s="315"/>
      <c r="T10" s="10"/>
      <c r="U10" s="10"/>
      <c r="V10" s="10"/>
      <c r="W10" s="10"/>
      <c r="X10" s="10"/>
      <c r="Y10" s="10"/>
      <c r="Z10" s="10"/>
      <c r="AA10" s="10"/>
      <c r="AB10" s="10"/>
    </row>
    <row r="11" spans="1:28" s="2" customFormat="1" ht="18.75" x14ac:dyDescent="0.2">
      <c r="A11" s="324" t="str">
        <f>'1. паспорт местоположение'!A12:C12</f>
        <v>O_22-1256</v>
      </c>
      <c r="B11" s="324"/>
      <c r="C11" s="324"/>
      <c r="D11" s="324"/>
      <c r="E11" s="324"/>
      <c r="F11" s="324"/>
      <c r="G11" s="324"/>
      <c r="H11" s="324"/>
      <c r="I11" s="324"/>
      <c r="J11" s="324"/>
      <c r="K11" s="324"/>
      <c r="L11" s="324"/>
      <c r="M11" s="324"/>
      <c r="N11" s="324"/>
      <c r="O11" s="324"/>
      <c r="P11" s="324"/>
      <c r="Q11" s="324"/>
      <c r="R11" s="324"/>
      <c r="S11" s="324"/>
      <c r="T11" s="10"/>
      <c r="U11" s="10"/>
      <c r="V11" s="10"/>
      <c r="W11" s="10"/>
      <c r="X11" s="10"/>
      <c r="Y11" s="10"/>
      <c r="Z11" s="10"/>
      <c r="AA11" s="10"/>
      <c r="AB11" s="10"/>
    </row>
    <row r="12" spans="1:28" s="2" customFormat="1" ht="18.75" x14ac:dyDescent="0.2">
      <c r="A12" s="317" t="s">
        <v>8</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2"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14"/>
      <c r="U13" s="14"/>
      <c r="V13" s="14"/>
      <c r="W13" s="14"/>
      <c r="X13" s="14"/>
      <c r="Y13" s="14"/>
      <c r="Z13" s="14"/>
      <c r="AA13" s="14"/>
      <c r="AB13" s="14"/>
    </row>
    <row r="14" spans="1:28" s="15" customFormat="1" ht="12" x14ac:dyDescent="0.2">
      <c r="A14" s="324" t="str">
        <f>'1. паспорт местоположение'!A9:C9</f>
        <v>Акционерное общество "Россети Янтарь" ДЗО  ПАО "Россети"</v>
      </c>
      <c r="B14" s="324"/>
      <c r="C14" s="324"/>
      <c r="D14" s="324"/>
      <c r="E14" s="324"/>
      <c r="F14" s="324"/>
      <c r="G14" s="324"/>
      <c r="H14" s="324"/>
      <c r="I14" s="324"/>
      <c r="J14" s="324"/>
      <c r="K14" s="324"/>
      <c r="L14" s="324"/>
      <c r="M14" s="324"/>
      <c r="N14" s="324"/>
      <c r="O14" s="324"/>
      <c r="P14" s="324"/>
      <c r="Q14" s="324"/>
      <c r="R14" s="324"/>
      <c r="S14" s="324"/>
      <c r="T14" s="11"/>
      <c r="U14" s="11"/>
      <c r="V14" s="11"/>
      <c r="W14" s="11"/>
      <c r="X14" s="11"/>
      <c r="Y14" s="11"/>
      <c r="Z14" s="11"/>
      <c r="AA14" s="11"/>
      <c r="AB14" s="11"/>
    </row>
    <row r="15" spans="1:28" s="15" customFormat="1" ht="15" customHeight="1" x14ac:dyDescent="0.2">
      <c r="A15" s="326" t="str">
        <f>'1. паспорт местоположение'!A15:C15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17"/>
      <c r="C15" s="317"/>
      <c r="D15" s="317"/>
      <c r="E15" s="317"/>
      <c r="F15" s="317"/>
      <c r="G15" s="317"/>
      <c r="H15" s="317"/>
      <c r="I15" s="317"/>
      <c r="J15" s="317"/>
      <c r="K15" s="317"/>
      <c r="L15" s="317"/>
      <c r="M15" s="317"/>
      <c r="N15" s="317"/>
      <c r="O15" s="317"/>
      <c r="P15" s="317"/>
      <c r="Q15" s="317"/>
      <c r="R15" s="317"/>
      <c r="S15" s="317"/>
      <c r="T15" s="13"/>
      <c r="U15" s="13"/>
      <c r="V15" s="13"/>
      <c r="W15" s="13"/>
      <c r="X15" s="13"/>
      <c r="Y15" s="13"/>
      <c r="Z15" s="13"/>
      <c r="AA15" s="13"/>
      <c r="AB15" s="13"/>
    </row>
    <row r="16" spans="1:28" s="15"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14"/>
      <c r="U16" s="14"/>
      <c r="V16" s="14"/>
      <c r="W16" s="14"/>
      <c r="X16" s="14"/>
      <c r="Y16" s="14"/>
    </row>
    <row r="17" spans="1:28" s="15" customFormat="1" ht="45.75" customHeight="1" x14ac:dyDescent="0.2">
      <c r="A17" s="323" t="s">
        <v>75</v>
      </c>
      <c r="B17" s="323"/>
      <c r="C17" s="323"/>
      <c r="D17" s="323"/>
      <c r="E17" s="323"/>
      <c r="F17" s="323"/>
      <c r="G17" s="323"/>
      <c r="H17" s="323"/>
      <c r="I17" s="323"/>
      <c r="J17" s="323"/>
      <c r="K17" s="323"/>
      <c r="L17" s="323"/>
      <c r="M17" s="323"/>
      <c r="N17" s="323"/>
      <c r="O17" s="323"/>
      <c r="P17" s="323"/>
      <c r="Q17" s="323"/>
      <c r="R17" s="323"/>
      <c r="S17" s="323"/>
      <c r="T17" s="16"/>
      <c r="U17" s="16"/>
      <c r="V17" s="16"/>
      <c r="W17" s="16"/>
      <c r="X17" s="16"/>
      <c r="Y17" s="16"/>
      <c r="Z17" s="16"/>
      <c r="AA17" s="16"/>
      <c r="AB17" s="16"/>
    </row>
    <row r="18" spans="1:28" s="15"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14"/>
      <c r="U18" s="14"/>
      <c r="V18" s="14"/>
      <c r="W18" s="14"/>
      <c r="X18" s="14"/>
      <c r="Y18" s="14"/>
    </row>
    <row r="19" spans="1:28" s="15" customFormat="1" ht="54" customHeight="1" x14ac:dyDescent="0.2">
      <c r="A19" s="328" t="s">
        <v>12</v>
      </c>
      <c r="B19" s="328" t="s">
        <v>76</v>
      </c>
      <c r="C19" s="329" t="s">
        <v>77</v>
      </c>
      <c r="D19" s="328" t="s">
        <v>78</v>
      </c>
      <c r="E19" s="328" t="s">
        <v>79</v>
      </c>
      <c r="F19" s="328" t="s">
        <v>80</v>
      </c>
      <c r="G19" s="328" t="s">
        <v>81</v>
      </c>
      <c r="H19" s="328" t="s">
        <v>82</v>
      </c>
      <c r="I19" s="328" t="s">
        <v>83</v>
      </c>
      <c r="J19" s="328" t="s">
        <v>84</v>
      </c>
      <c r="K19" s="328" t="s">
        <v>85</v>
      </c>
      <c r="L19" s="328" t="s">
        <v>86</v>
      </c>
      <c r="M19" s="328" t="s">
        <v>87</v>
      </c>
      <c r="N19" s="328" t="s">
        <v>88</v>
      </c>
      <c r="O19" s="328" t="s">
        <v>89</v>
      </c>
      <c r="P19" s="328" t="s">
        <v>90</v>
      </c>
      <c r="Q19" s="328" t="s">
        <v>91</v>
      </c>
      <c r="R19" s="328"/>
      <c r="S19" s="331" t="s">
        <v>92</v>
      </c>
      <c r="T19" s="14"/>
      <c r="U19" s="14"/>
      <c r="V19" s="14"/>
      <c r="W19" s="14"/>
      <c r="X19" s="14"/>
      <c r="Y19" s="14"/>
    </row>
    <row r="20" spans="1:28" s="15" customFormat="1" ht="180.75" customHeight="1" x14ac:dyDescent="0.2">
      <c r="A20" s="328"/>
      <c r="B20" s="328"/>
      <c r="C20" s="330"/>
      <c r="D20" s="328"/>
      <c r="E20" s="328"/>
      <c r="F20" s="328"/>
      <c r="G20" s="328"/>
      <c r="H20" s="328"/>
      <c r="I20" s="328"/>
      <c r="J20" s="328"/>
      <c r="K20" s="328"/>
      <c r="L20" s="328"/>
      <c r="M20" s="328"/>
      <c r="N20" s="328"/>
      <c r="O20" s="328"/>
      <c r="P20" s="328"/>
      <c r="Q20" s="25" t="s">
        <v>93</v>
      </c>
      <c r="R20" s="26" t="s">
        <v>94</v>
      </c>
      <c r="S20" s="331"/>
      <c r="T20" s="14"/>
      <c r="U20" s="14"/>
      <c r="V20" s="14"/>
      <c r="W20" s="14"/>
      <c r="X20" s="14"/>
      <c r="Y20" s="14"/>
    </row>
    <row r="21" spans="1:28" s="15" customFormat="1" ht="18.75" x14ac:dyDescent="0.2">
      <c r="A21" s="25">
        <v>1</v>
      </c>
      <c r="B21" s="27">
        <v>2</v>
      </c>
      <c r="C21" s="25">
        <v>3</v>
      </c>
      <c r="D21" s="27">
        <v>4</v>
      </c>
      <c r="E21" s="25">
        <v>5</v>
      </c>
      <c r="F21" s="27">
        <v>6</v>
      </c>
      <c r="G21" s="25">
        <v>7</v>
      </c>
      <c r="H21" s="27">
        <v>8</v>
      </c>
      <c r="I21" s="25">
        <v>9</v>
      </c>
      <c r="J21" s="27">
        <v>10</v>
      </c>
      <c r="K21" s="25">
        <v>11</v>
      </c>
      <c r="L21" s="27">
        <v>12</v>
      </c>
      <c r="M21" s="25">
        <v>13</v>
      </c>
      <c r="N21" s="27">
        <v>14</v>
      </c>
      <c r="O21" s="25">
        <v>15</v>
      </c>
      <c r="P21" s="27">
        <v>16</v>
      </c>
      <c r="Q21" s="25">
        <v>17</v>
      </c>
      <c r="R21" s="27">
        <v>18</v>
      </c>
      <c r="S21" s="25">
        <v>19</v>
      </c>
      <c r="T21" s="14"/>
      <c r="U21" s="14"/>
      <c r="V21" s="14"/>
      <c r="W21" s="14"/>
      <c r="X21" s="14"/>
      <c r="Y21" s="14"/>
    </row>
    <row r="22" spans="1:28" s="12" customFormat="1" ht="15.75" x14ac:dyDescent="0.25">
      <c r="A22" s="19"/>
      <c r="B22" s="28"/>
      <c r="C22" s="28"/>
      <c r="D22" s="28"/>
      <c r="E22" s="28"/>
      <c r="F22" s="28"/>
      <c r="G22" s="28"/>
      <c r="H22" s="29"/>
      <c r="I22" s="28"/>
      <c r="J22" s="29"/>
      <c r="K22" s="28"/>
      <c r="L22" s="30"/>
      <c r="M22" s="28"/>
      <c r="N22" s="28"/>
      <c r="O22" s="28"/>
      <c r="P22" s="28"/>
      <c r="Q22" s="31"/>
      <c r="R22" s="19"/>
      <c r="S22" s="32"/>
    </row>
    <row r="23" spans="1:28" s="12" customFormat="1" ht="15.75" x14ac:dyDescent="0.25">
      <c r="A23" s="19"/>
      <c r="B23" s="28"/>
      <c r="C23" s="28"/>
      <c r="D23" s="28"/>
      <c r="E23" s="28"/>
      <c r="F23" s="28"/>
      <c r="G23" s="28"/>
      <c r="H23" s="29"/>
      <c r="I23" s="28"/>
      <c r="J23" s="29"/>
      <c r="K23" s="28"/>
      <c r="L23" s="30"/>
      <c r="M23" s="28"/>
      <c r="N23" s="28"/>
      <c r="O23" s="28"/>
      <c r="P23" s="28"/>
      <c r="Q23" s="31"/>
      <c r="R23" s="19"/>
      <c r="S23" s="32"/>
    </row>
    <row r="24" spans="1:28" ht="20.25" customHeight="1" x14ac:dyDescent="0.25">
      <c r="A24" s="33"/>
      <c r="B24" s="27" t="s">
        <v>95</v>
      </c>
      <c r="C24" s="27"/>
      <c r="D24" s="27"/>
      <c r="E24" s="33" t="s">
        <v>96</v>
      </c>
      <c r="F24" s="33" t="s">
        <v>96</v>
      </c>
      <c r="G24" s="33" t="s">
        <v>96</v>
      </c>
      <c r="H24" s="34">
        <f>SUM(H22:H23)</f>
        <v>0</v>
      </c>
      <c r="I24" s="34">
        <f t="shared" ref="I24:J24" si="0">SUM(I22:I23)</f>
        <v>0</v>
      </c>
      <c r="J24" s="34">
        <f t="shared" si="0"/>
        <v>0</v>
      </c>
      <c r="K24" s="33"/>
      <c r="L24" s="33"/>
      <c r="M24" s="33"/>
      <c r="N24" s="33"/>
      <c r="O24" s="33"/>
      <c r="P24" s="33"/>
      <c r="Q24" s="35"/>
      <c r="R24" s="36"/>
      <c r="S24" s="34">
        <f>SUM(S22:S23)</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workbookViewId="0"/>
  </sheetViews>
  <sheetFormatPr defaultColWidth="10.7109375" defaultRowHeight="15.75" x14ac:dyDescent="0.25"/>
  <cols>
    <col min="1" max="1" width="9.5703125" style="37" customWidth="1"/>
    <col min="2" max="2" width="11.28515625" style="37" customWidth="1"/>
    <col min="3" max="3" width="14.28515625" style="37" customWidth="1"/>
    <col min="4" max="4" width="17.14062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4" t="str">
        <f>'1. паспорт местоположение'!A5:C5</f>
        <v>Год раскрытия информации: 2025 год</v>
      </c>
      <c r="B6" s="314"/>
      <c r="C6" s="314"/>
      <c r="D6" s="314"/>
      <c r="E6" s="314"/>
      <c r="F6" s="314"/>
      <c r="G6" s="314"/>
      <c r="H6" s="314"/>
      <c r="I6" s="314"/>
      <c r="J6" s="314"/>
      <c r="K6" s="314"/>
      <c r="L6" s="314"/>
      <c r="M6" s="314"/>
      <c r="N6" s="314"/>
      <c r="O6" s="314"/>
      <c r="P6" s="314"/>
      <c r="Q6" s="314"/>
      <c r="R6" s="314"/>
      <c r="S6" s="314"/>
      <c r="T6" s="314"/>
    </row>
    <row r="7" spans="1:20" s="2" customFormat="1" x14ac:dyDescent="0.2">
      <c r="A7" s="6"/>
    </row>
    <row r="8" spans="1:20" s="2" customFormat="1" ht="18.75" x14ac:dyDescent="0.2">
      <c r="A8" s="315" t="s">
        <v>4</v>
      </c>
      <c r="B8" s="315"/>
      <c r="C8" s="315"/>
      <c r="D8" s="315"/>
      <c r="E8" s="315"/>
      <c r="F8" s="315"/>
      <c r="G8" s="315"/>
      <c r="H8" s="315"/>
      <c r="I8" s="315"/>
      <c r="J8" s="315"/>
      <c r="K8" s="315"/>
      <c r="L8" s="315"/>
      <c r="M8" s="315"/>
      <c r="N8" s="315"/>
      <c r="O8" s="315"/>
      <c r="P8" s="315"/>
      <c r="Q8" s="315"/>
      <c r="R8" s="315"/>
      <c r="S8" s="315"/>
      <c r="T8" s="315"/>
    </row>
    <row r="9" spans="1:20" s="2" customFormat="1" ht="18.75" x14ac:dyDescent="0.2">
      <c r="A9" s="315"/>
      <c r="B9" s="315"/>
      <c r="C9" s="315"/>
      <c r="D9" s="315"/>
      <c r="E9" s="315"/>
      <c r="F9" s="315"/>
      <c r="G9" s="315"/>
      <c r="H9" s="315"/>
      <c r="I9" s="315"/>
      <c r="J9" s="315"/>
      <c r="K9" s="315"/>
      <c r="L9" s="315"/>
      <c r="M9" s="315"/>
      <c r="N9" s="315"/>
      <c r="O9" s="315"/>
      <c r="P9" s="315"/>
      <c r="Q9" s="315"/>
      <c r="R9" s="315"/>
      <c r="S9" s="315"/>
      <c r="T9" s="315"/>
    </row>
    <row r="10" spans="1:20" s="2" customFormat="1" ht="18.75" customHeight="1" x14ac:dyDescent="0.2">
      <c r="A10" s="324" t="str">
        <f>'1. паспорт местоположение'!A9:C9</f>
        <v>Акционерное общество "Россети Янтарь" ДЗО  ПАО "Россети"</v>
      </c>
      <c r="B10" s="324"/>
      <c r="C10" s="324"/>
      <c r="D10" s="324"/>
      <c r="E10" s="324"/>
      <c r="F10" s="324"/>
      <c r="G10" s="324"/>
      <c r="H10" s="324"/>
      <c r="I10" s="324"/>
      <c r="J10" s="324"/>
      <c r="K10" s="324"/>
      <c r="L10" s="324"/>
      <c r="M10" s="324"/>
      <c r="N10" s="324"/>
      <c r="O10" s="324"/>
      <c r="P10" s="324"/>
      <c r="Q10" s="324"/>
      <c r="R10" s="324"/>
      <c r="S10" s="324"/>
      <c r="T10" s="324"/>
    </row>
    <row r="11" spans="1:20" s="2" customFormat="1" ht="18.75" customHeight="1" x14ac:dyDescent="0.2">
      <c r="A11" s="317" t="s">
        <v>6</v>
      </c>
      <c r="B11" s="317"/>
      <c r="C11" s="317"/>
      <c r="D11" s="317"/>
      <c r="E11" s="317"/>
      <c r="F11" s="317"/>
      <c r="G11" s="317"/>
      <c r="H11" s="317"/>
      <c r="I11" s="317"/>
      <c r="J11" s="317"/>
      <c r="K11" s="317"/>
      <c r="L11" s="317"/>
      <c r="M11" s="317"/>
      <c r="N11" s="317"/>
      <c r="O11" s="317"/>
      <c r="P11" s="317"/>
      <c r="Q11" s="317"/>
      <c r="R11" s="317"/>
      <c r="S11" s="317"/>
      <c r="T11" s="317"/>
    </row>
    <row r="12" spans="1:20" s="2" customFormat="1" ht="18.75" x14ac:dyDescent="0.2">
      <c r="A12" s="315"/>
      <c r="B12" s="315"/>
      <c r="C12" s="315"/>
      <c r="D12" s="315"/>
      <c r="E12" s="315"/>
      <c r="F12" s="315"/>
      <c r="G12" s="315"/>
      <c r="H12" s="315"/>
      <c r="I12" s="315"/>
      <c r="J12" s="315"/>
      <c r="K12" s="315"/>
      <c r="L12" s="315"/>
      <c r="M12" s="315"/>
      <c r="N12" s="315"/>
      <c r="O12" s="315"/>
      <c r="P12" s="315"/>
      <c r="Q12" s="315"/>
      <c r="R12" s="315"/>
      <c r="S12" s="315"/>
      <c r="T12" s="315"/>
    </row>
    <row r="13" spans="1:20" s="2" customFormat="1" ht="18.75" customHeight="1" x14ac:dyDescent="0.2">
      <c r="A13" s="324" t="str">
        <f>'1. паспорт местоположение'!A12:C12</f>
        <v>O_22-1256</v>
      </c>
      <c r="B13" s="324"/>
      <c r="C13" s="324"/>
      <c r="D13" s="324"/>
      <c r="E13" s="324"/>
      <c r="F13" s="324"/>
      <c r="G13" s="324"/>
      <c r="H13" s="324"/>
      <c r="I13" s="324"/>
      <c r="J13" s="324"/>
      <c r="K13" s="324"/>
      <c r="L13" s="324"/>
      <c r="M13" s="324"/>
      <c r="N13" s="324"/>
      <c r="O13" s="324"/>
      <c r="P13" s="324"/>
      <c r="Q13" s="324"/>
      <c r="R13" s="324"/>
      <c r="S13" s="324"/>
      <c r="T13" s="324"/>
    </row>
    <row r="14" spans="1:20" s="2" customFormat="1" ht="18.75" customHeight="1" x14ac:dyDescent="0.2">
      <c r="A14" s="317" t="s">
        <v>8</v>
      </c>
      <c r="B14" s="317"/>
      <c r="C14" s="317"/>
      <c r="D14" s="317"/>
      <c r="E14" s="317"/>
      <c r="F14" s="317"/>
      <c r="G14" s="317"/>
      <c r="H14" s="317"/>
      <c r="I14" s="317"/>
      <c r="J14" s="317"/>
      <c r="K14" s="317"/>
      <c r="L14" s="317"/>
      <c r="M14" s="317"/>
      <c r="N14" s="317"/>
      <c r="O14" s="317"/>
      <c r="P14" s="317"/>
      <c r="Q14" s="317"/>
      <c r="R14" s="317"/>
      <c r="S14" s="317"/>
      <c r="T14" s="317"/>
    </row>
    <row r="15" spans="1:20" s="2"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15" customFormat="1" ht="12" x14ac:dyDescent="0.2">
      <c r="A16"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6" s="324"/>
      <c r="C16" s="324"/>
      <c r="D16" s="324"/>
      <c r="E16" s="324"/>
      <c r="F16" s="324"/>
      <c r="G16" s="324"/>
      <c r="H16" s="324"/>
      <c r="I16" s="324"/>
      <c r="J16" s="324"/>
      <c r="K16" s="324"/>
      <c r="L16" s="324"/>
      <c r="M16" s="324"/>
      <c r="N16" s="324"/>
      <c r="O16" s="324"/>
      <c r="P16" s="324"/>
      <c r="Q16" s="324"/>
      <c r="R16" s="324"/>
      <c r="S16" s="324"/>
      <c r="T16" s="324"/>
    </row>
    <row r="17" spans="1:113" s="15" customFormat="1" ht="15" customHeight="1" x14ac:dyDescent="0.2">
      <c r="A17" s="317" t="s">
        <v>10</v>
      </c>
      <c r="B17" s="317"/>
      <c r="C17" s="317"/>
      <c r="D17" s="317"/>
      <c r="E17" s="317"/>
      <c r="F17" s="317"/>
      <c r="G17" s="317"/>
      <c r="H17" s="317"/>
      <c r="I17" s="317"/>
      <c r="J17" s="317"/>
      <c r="K17" s="317"/>
      <c r="L17" s="317"/>
      <c r="M17" s="317"/>
      <c r="N17" s="317"/>
      <c r="O17" s="317"/>
      <c r="P17" s="317"/>
      <c r="Q17" s="317"/>
      <c r="R17" s="317"/>
      <c r="S17" s="317"/>
      <c r="T17" s="317"/>
    </row>
    <row r="18" spans="1:113" s="15"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15" customFormat="1" ht="15" customHeight="1" x14ac:dyDescent="0.2">
      <c r="A19" s="318" t="s">
        <v>97</v>
      </c>
      <c r="B19" s="318"/>
      <c r="C19" s="318"/>
      <c r="D19" s="318"/>
      <c r="E19" s="318"/>
      <c r="F19" s="318"/>
      <c r="G19" s="318"/>
      <c r="H19" s="318"/>
      <c r="I19" s="318"/>
      <c r="J19" s="318"/>
      <c r="K19" s="318"/>
      <c r="L19" s="318"/>
      <c r="M19" s="318"/>
      <c r="N19" s="318"/>
      <c r="O19" s="318"/>
      <c r="P19" s="318"/>
      <c r="Q19" s="318"/>
      <c r="R19" s="318"/>
      <c r="S19" s="318"/>
      <c r="T19" s="318"/>
    </row>
    <row r="20" spans="1:113" s="38"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36" t="s">
        <v>12</v>
      </c>
      <c r="B21" s="339" t="s">
        <v>98</v>
      </c>
      <c r="C21" s="340"/>
      <c r="D21" s="343" t="s">
        <v>99</v>
      </c>
      <c r="E21" s="339" t="s">
        <v>100</v>
      </c>
      <c r="F21" s="340"/>
      <c r="G21" s="339" t="s">
        <v>101</v>
      </c>
      <c r="H21" s="340"/>
      <c r="I21" s="339" t="s">
        <v>102</v>
      </c>
      <c r="J21" s="340"/>
      <c r="K21" s="343" t="s">
        <v>103</v>
      </c>
      <c r="L21" s="339" t="s">
        <v>104</v>
      </c>
      <c r="M21" s="340"/>
      <c r="N21" s="339" t="s">
        <v>105</v>
      </c>
      <c r="O21" s="340"/>
      <c r="P21" s="343" t="s">
        <v>106</v>
      </c>
      <c r="Q21" s="332" t="s">
        <v>107</v>
      </c>
      <c r="R21" s="346"/>
      <c r="S21" s="332" t="s">
        <v>108</v>
      </c>
      <c r="T21" s="333"/>
    </row>
    <row r="22" spans="1:113" ht="204.75" customHeight="1" x14ac:dyDescent="0.25">
      <c r="A22" s="337"/>
      <c r="B22" s="341"/>
      <c r="C22" s="342"/>
      <c r="D22" s="344"/>
      <c r="E22" s="341"/>
      <c r="F22" s="342"/>
      <c r="G22" s="341"/>
      <c r="H22" s="342"/>
      <c r="I22" s="341"/>
      <c r="J22" s="342"/>
      <c r="K22" s="345"/>
      <c r="L22" s="341"/>
      <c r="M22" s="342"/>
      <c r="N22" s="341"/>
      <c r="O22" s="342"/>
      <c r="P22" s="345"/>
      <c r="Q22" s="40" t="s">
        <v>109</v>
      </c>
      <c r="R22" s="40" t="s">
        <v>110</v>
      </c>
      <c r="S22" s="40" t="s">
        <v>111</v>
      </c>
      <c r="T22" s="40" t="s">
        <v>112</v>
      </c>
    </row>
    <row r="23" spans="1:113" ht="51.75" customHeight="1" x14ac:dyDescent="0.25">
      <c r="A23" s="338"/>
      <c r="B23" s="40" t="s">
        <v>113</v>
      </c>
      <c r="C23" s="40" t="s">
        <v>114</v>
      </c>
      <c r="D23" s="345"/>
      <c r="E23" s="40" t="s">
        <v>113</v>
      </c>
      <c r="F23" s="40" t="s">
        <v>114</v>
      </c>
      <c r="G23" s="40" t="s">
        <v>113</v>
      </c>
      <c r="H23" s="40" t="s">
        <v>114</v>
      </c>
      <c r="I23" s="40" t="s">
        <v>113</v>
      </c>
      <c r="J23" s="40" t="s">
        <v>114</v>
      </c>
      <c r="K23" s="40" t="s">
        <v>113</v>
      </c>
      <c r="L23" s="40" t="s">
        <v>113</v>
      </c>
      <c r="M23" s="40" t="s">
        <v>114</v>
      </c>
      <c r="N23" s="40" t="s">
        <v>113</v>
      </c>
      <c r="O23" s="40" t="s">
        <v>114</v>
      </c>
      <c r="P23" s="39" t="s">
        <v>113</v>
      </c>
      <c r="Q23" s="40" t="s">
        <v>113</v>
      </c>
      <c r="R23" s="40" t="s">
        <v>113</v>
      </c>
      <c r="S23" s="40" t="s">
        <v>113</v>
      </c>
      <c r="T23" s="40" t="s">
        <v>113</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x14ac:dyDescent="0.25">
      <c r="A25" s="43" t="s">
        <v>96</v>
      </c>
      <c r="B25" s="43" t="s">
        <v>96</v>
      </c>
      <c r="C25" s="43" t="s">
        <v>96</v>
      </c>
      <c r="D25" s="43" t="s">
        <v>96</v>
      </c>
      <c r="E25" s="43" t="s">
        <v>96</v>
      </c>
      <c r="F25" s="43" t="s">
        <v>96</v>
      </c>
      <c r="G25" s="43" t="s">
        <v>96</v>
      </c>
      <c r="H25" s="43" t="s">
        <v>96</v>
      </c>
      <c r="I25" s="43" t="s">
        <v>96</v>
      </c>
      <c r="J25" s="43" t="s">
        <v>96</v>
      </c>
      <c r="K25" s="43" t="s">
        <v>96</v>
      </c>
      <c r="L25" s="43" t="s">
        <v>96</v>
      </c>
      <c r="M25" s="43" t="s">
        <v>96</v>
      </c>
      <c r="N25" s="43" t="s">
        <v>96</v>
      </c>
      <c r="O25" s="43" t="s">
        <v>96</v>
      </c>
      <c r="P25" s="44" t="s">
        <v>96</v>
      </c>
      <c r="Q25" s="45" t="s">
        <v>96</v>
      </c>
      <c r="R25" s="43" t="s">
        <v>96</v>
      </c>
      <c r="S25" s="45" t="s">
        <v>96</v>
      </c>
      <c r="T25" s="43" t="s">
        <v>96</v>
      </c>
    </row>
    <row r="26" spans="1:113" ht="3" customHeight="1" x14ac:dyDescent="0.25"/>
    <row r="27" spans="1:113" s="46" customFormat="1" ht="12.75" x14ac:dyDescent="0.2">
      <c r="B27" s="47"/>
      <c r="C27" s="47"/>
      <c r="K27" s="47"/>
    </row>
    <row r="28" spans="1:113" s="46" customFormat="1" x14ac:dyDescent="0.25">
      <c r="B28" s="37" t="s">
        <v>115</v>
      </c>
      <c r="C28" s="37"/>
      <c r="D28" s="37"/>
      <c r="E28" s="37"/>
      <c r="F28" s="37"/>
      <c r="G28" s="37"/>
      <c r="H28" s="37"/>
      <c r="I28" s="37"/>
      <c r="J28" s="37"/>
      <c r="K28" s="37"/>
      <c r="L28" s="37"/>
      <c r="M28" s="37"/>
      <c r="N28" s="37"/>
      <c r="O28" s="37"/>
      <c r="P28" s="37"/>
      <c r="Q28" s="37"/>
      <c r="R28" s="37"/>
    </row>
    <row r="29" spans="1:113" x14ac:dyDescent="0.25">
      <c r="B29" s="334" t="s">
        <v>116</v>
      </c>
      <c r="C29" s="334"/>
      <c r="D29" s="334"/>
      <c r="E29" s="334"/>
      <c r="F29" s="334"/>
      <c r="G29" s="334"/>
      <c r="H29" s="334"/>
      <c r="I29" s="334"/>
      <c r="J29" s="334"/>
      <c r="K29" s="334"/>
      <c r="L29" s="334"/>
      <c r="M29" s="334"/>
      <c r="N29" s="334"/>
      <c r="O29" s="334"/>
      <c r="P29" s="334"/>
      <c r="Q29" s="334"/>
      <c r="R29" s="334"/>
    </row>
    <row r="31" spans="1:113" x14ac:dyDescent="0.25">
      <c r="B31" s="48" t="s">
        <v>117</v>
      </c>
      <c r="C31" s="48"/>
      <c r="D31" s="48"/>
      <c r="E31" s="48"/>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118</v>
      </c>
      <c r="C32" s="48"/>
      <c r="D32" s="48"/>
      <c r="E32" s="48"/>
      <c r="H32" s="48"/>
      <c r="I32" s="48"/>
      <c r="J32" s="48"/>
      <c r="K32" s="48"/>
      <c r="L32" s="48"/>
      <c r="M32" s="48"/>
      <c r="N32" s="48"/>
      <c r="O32" s="48"/>
      <c r="P32" s="48"/>
      <c r="Q32" s="48"/>
      <c r="R32" s="48"/>
    </row>
    <row r="33" spans="2:113" x14ac:dyDescent="0.25">
      <c r="B33" s="48" t="s">
        <v>119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48" t="s">
        <v>120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48" t="s">
        <v>121</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48" t="s">
        <v>122</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48" t="s">
        <v>123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48" t="s">
        <v>124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48" t="s">
        <v>125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48" t="s">
        <v>126</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54"/>
  <sheetViews>
    <sheetView view="pageBreakPreview" topLeftCell="A38" zoomScale="80" workbookViewId="0">
      <selection activeCell="Q51" sqref="Q51"/>
    </sheetView>
  </sheetViews>
  <sheetFormatPr defaultColWidth="10.7109375" defaultRowHeight="15.75" x14ac:dyDescent="0.25"/>
  <cols>
    <col min="1" max="1" width="10.7109375" style="37"/>
    <col min="2" max="3" width="20.5703125" style="37" customWidth="1"/>
    <col min="4" max="5" width="31.71093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2"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2.14062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R2" s="3"/>
      <c r="AA2" s="5" t="s">
        <v>1</v>
      </c>
    </row>
    <row r="3" spans="1:27" s="2" customFormat="1" ht="18.75" customHeight="1" x14ac:dyDescent="0.3">
      <c r="E3" s="3"/>
      <c r="R3" s="3"/>
      <c r="AA3" s="5" t="s">
        <v>2</v>
      </c>
    </row>
    <row r="4" spans="1:27" s="2" customFormat="1" x14ac:dyDescent="0.2">
      <c r="E4" s="6"/>
      <c r="R4" s="3"/>
    </row>
    <row r="5" spans="1:27" s="2" customFormat="1"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5" t="s">
        <v>4</v>
      </c>
      <c r="F7" s="315"/>
      <c r="G7" s="315"/>
      <c r="H7" s="315"/>
      <c r="I7" s="315"/>
      <c r="J7" s="315"/>
      <c r="K7" s="315"/>
      <c r="L7" s="315"/>
      <c r="M7" s="315"/>
      <c r="N7" s="315"/>
      <c r="O7" s="315"/>
      <c r="P7" s="315"/>
      <c r="Q7" s="315"/>
      <c r="R7" s="315"/>
      <c r="S7" s="315"/>
      <c r="T7" s="315"/>
      <c r="U7" s="315"/>
      <c r="V7" s="315"/>
      <c r="W7" s="315"/>
      <c r="X7" s="315"/>
      <c r="Y7" s="315"/>
    </row>
    <row r="8" spans="1:27" s="2" customFormat="1" ht="18.75" x14ac:dyDescent="0.2">
      <c r="E8" s="9"/>
      <c r="F8" s="9"/>
      <c r="G8" s="9"/>
      <c r="H8" s="9"/>
      <c r="I8" s="9"/>
      <c r="J8" s="9"/>
      <c r="K8" s="9"/>
      <c r="L8" s="9"/>
      <c r="M8" s="9"/>
      <c r="N8" s="9"/>
      <c r="O8" s="9"/>
      <c r="P8" s="9"/>
      <c r="Q8" s="9"/>
      <c r="R8" s="50"/>
      <c r="S8" s="10"/>
      <c r="T8" s="10"/>
      <c r="U8" s="10"/>
      <c r="V8" s="10"/>
      <c r="W8" s="10"/>
    </row>
    <row r="9" spans="1:27" s="2" customFormat="1" ht="18.75" customHeight="1" x14ac:dyDescent="0.2">
      <c r="E9" s="324" t="str">
        <f>'1. паспорт местоположение'!A9</f>
        <v>Акционерное общество "Россети Янтарь" ДЗО  ПАО "Россети"</v>
      </c>
      <c r="F9" s="324"/>
      <c r="G9" s="324"/>
      <c r="H9" s="324"/>
      <c r="I9" s="324"/>
      <c r="J9" s="324"/>
      <c r="K9" s="324"/>
      <c r="L9" s="324"/>
      <c r="M9" s="324"/>
      <c r="N9" s="324"/>
      <c r="O9" s="324"/>
      <c r="P9" s="324"/>
      <c r="Q9" s="324"/>
      <c r="R9" s="324"/>
      <c r="S9" s="324"/>
      <c r="T9" s="324"/>
      <c r="U9" s="324"/>
      <c r="V9" s="324"/>
      <c r="W9" s="324"/>
      <c r="X9" s="324"/>
      <c r="Y9" s="324"/>
    </row>
    <row r="10" spans="1:27" s="2" customFormat="1" ht="18.75" customHeight="1" x14ac:dyDescent="0.2">
      <c r="E10" s="317" t="s">
        <v>6</v>
      </c>
      <c r="F10" s="317"/>
      <c r="G10" s="317"/>
      <c r="H10" s="317"/>
      <c r="I10" s="317"/>
      <c r="J10" s="317"/>
      <c r="K10" s="317"/>
      <c r="L10" s="317"/>
      <c r="M10" s="317"/>
      <c r="N10" s="317"/>
      <c r="O10" s="317"/>
      <c r="P10" s="317"/>
      <c r="Q10" s="317"/>
      <c r="R10" s="317"/>
      <c r="S10" s="317"/>
      <c r="T10" s="317"/>
      <c r="U10" s="317"/>
      <c r="V10" s="317"/>
      <c r="W10" s="317"/>
      <c r="X10" s="317"/>
      <c r="Y10" s="317"/>
    </row>
    <row r="11" spans="1:27" s="2" customFormat="1" ht="18.75" x14ac:dyDescent="0.2">
      <c r="E11" s="9"/>
      <c r="F11" s="9"/>
      <c r="G11" s="9"/>
      <c r="H11" s="9"/>
      <c r="I11" s="9"/>
      <c r="J11" s="9"/>
      <c r="K11" s="9"/>
      <c r="L11" s="9"/>
      <c r="M11" s="9"/>
      <c r="N11" s="9"/>
      <c r="O11" s="9"/>
      <c r="P11" s="9"/>
      <c r="Q11" s="9"/>
      <c r="R11" s="50"/>
      <c r="S11" s="10"/>
      <c r="T11" s="10"/>
      <c r="U11" s="10"/>
      <c r="V11" s="10"/>
      <c r="W11" s="10"/>
    </row>
    <row r="12" spans="1:27" s="2" customFormat="1" ht="18.75" customHeight="1" x14ac:dyDescent="0.2">
      <c r="E12" s="324" t="str">
        <f>'1. паспорт местоположение'!A12</f>
        <v>O_22-1256</v>
      </c>
      <c r="F12" s="324"/>
      <c r="G12" s="324"/>
      <c r="H12" s="324"/>
      <c r="I12" s="324"/>
      <c r="J12" s="324"/>
      <c r="K12" s="324"/>
      <c r="L12" s="324"/>
      <c r="M12" s="324"/>
      <c r="N12" s="324"/>
      <c r="O12" s="324"/>
      <c r="P12" s="324"/>
      <c r="Q12" s="324"/>
      <c r="R12" s="324"/>
      <c r="S12" s="324"/>
      <c r="T12" s="324"/>
      <c r="U12" s="324"/>
      <c r="V12" s="324"/>
      <c r="W12" s="324"/>
      <c r="X12" s="324"/>
      <c r="Y12" s="324"/>
    </row>
    <row r="13" spans="1:27" s="2" customFormat="1" ht="18.75" customHeight="1" x14ac:dyDescent="0.2">
      <c r="E13" s="317" t="s">
        <v>8</v>
      </c>
      <c r="F13" s="317"/>
      <c r="G13" s="317"/>
      <c r="H13" s="317"/>
      <c r="I13" s="317"/>
      <c r="J13" s="317"/>
      <c r="K13" s="317"/>
      <c r="L13" s="317"/>
      <c r="M13" s="317"/>
      <c r="N13" s="317"/>
      <c r="O13" s="317"/>
      <c r="P13" s="317"/>
      <c r="Q13" s="317"/>
      <c r="R13" s="317"/>
      <c r="S13" s="317"/>
      <c r="T13" s="317"/>
      <c r="U13" s="317"/>
      <c r="V13" s="317"/>
      <c r="W13" s="317"/>
      <c r="X13" s="317"/>
      <c r="Y13" s="317"/>
    </row>
    <row r="14" spans="1:27" s="2" customFormat="1" ht="15.75" customHeight="1" x14ac:dyDescent="0.2">
      <c r="E14" s="14"/>
      <c r="F14" s="14"/>
      <c r="G14" s="14"/>
      <c r="H14" s="14"/>
      <c r="I14" s="14"/>
      <c r="J14" s="14"/>
      <c r="K14" s="14"/>
      <c r="L14" s="14"/>
      <c r="M14" s="14"/>
      <c r="N14" s="14"/>
      <c r="O14" s="14"/>
      <c r="P14" s="14"/>
      <c r="Q14" s="14"/>
      <c r="R14" s="51"/>
      <c r="S14" s="14"/>
      <c r="T14" s="14"/>
      <c r="U14" s="14"/>
      <c r="V14" s="14"/>
      <c r="W14" s="14"/>
    </row>
    <row r="15" spans="1:27" s="15" customFormat="1" ht="12" x14ac:dyDescent="0.2">
      <c r="E15"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F15" s="324"/>
      <c r="G15" s="324"/>
      <c r="H15" s="324"/>
      <c r="I15" s="324"/>
      <c r="J15" s="324"/>
      <c r="K15" s="324"/>
      <c r="L15" s="324"/>
      <c r="M15" s="324"/>
      <c r="N15" s="324"/>
      <c r="O15" s="324"/>
      <c r="P15" s="324"/>
      <c r="Q15" s="324"/>
      <c r="R15" s="324"/>
      <c r="S15" s="324"/>
      <c r="T15" s="324"/>
      <c r="U15" s="324"/>
      <c r="V15" s="324"/>
      <c r="W15" s="324"/>
      <c r="X15" s="324"/>
      <c r="Y15" s="324"/>
    </row>
    <row r="16" spans="1:27" s="15" customFormat="1" ht="15" customHeight="1" x14ac:dyDescent="0.2">
      <c r="E16" s="317" t="s">
        <v>10</v>
      </c>
      <c r="F16" s="317"/>
      <c r="G16" s="317"/>
      <c r="H16" s="317"/>
      <c r="I16" s="317"/>
      <c r="J16" s="317"/>
      <c r="K16" s="317"/>
      <c r="L16" s="317"/>
      <c r="M16" s="317"/>
      <c r="N16" s="317"/>
      <c r="O16" s="317"/>
      <c r="P16" s="317"/>
      <c r="Q16" s="317"/>
      <c r="R16" s="317"/>
      <c r="S16" s="317"/>
      <c r="T16" s="317"/>
      <c r="U16" s="317"/>
      <c r="V16" s="317"/>
      <c r="W16" s="317"/>
      <c r="X16" s="317"/>
      <c r="Y16" s="317"/>
    </row>
    <row r="17" spans="1:28" s="15" customFormat="1" ht="15" customHeight="1" x14ac:dyDescent="0.2">
      <c r="E17" s="14"/>
      <c r="F17" s="14"/>
      <c r="G17" s="14"/>
      <c r="H17" s="14"/>
      <c r="I17" s="14"/>
      <c r="J17" s="14"/>
      <c r="K17" s="14"/>
      <c r="L17" s="14"/>
      <c r="M17" s="14"/>
      <c r="N17" s="14"/>
      <c r="O17" s="14"/>
      <c r="P17" s="14"/>
      <c r="Q17" s="14"/>
      <c r="R17" s="51"/>
      <c r="S17" s="14"/>
      <c r="T17" s="14"/>
      <c r="U17" s="14"/>
      <c r="V17" s="14"/>
      <c r="W17" s="14"/>
    </row>
    <row r="18" spans="1:28" s="15"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8" ht="25.5" customHeight="1" x14ac:dyDescent="0.25">
      <c r="A19" s="318" t="s">
        <v>127</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8" s="38" customFormat="1" ht="21" customHeight="1" x14ac:dyDescent="0.25"/>
    <row r="21" spans="1:28" ht="15.75" customHeight="1" x14ac:dyDescent="0.25">
      <c r="A21" s="343" t="s">
        <v>12</v>
      </c>
      <c r="B21" s="339" t="s">
        <v>128</v>
      </c>
      <c r="C21" s="340"/>
      <c r="D21" s="339" t="s">
        <v>129</v>
      </c>
      <c r="E21" s="340"/>
      <c r="F21" s="332" t="s">
        <v>85</v>
      </c>
      <c r="G21" s="333"/>
      <c r="H21" s="333"/>
      <c r="I21" s="346"/>
      <c r="J21" s="343" t="s">
        <v>130</v>
      </c>
      <c r="K21" s="339" t="s">
        <v>131</v>
      </c>
      <c r="L21" s="340"/>
      <c r="M21" s="339" t="s">
        <v>132</v>
      </c>
      <c r="N21" s="340"/>
      <c r="O21" s="339" t="s">
        <v>133</v>
      </c>
      <c r="P21" s="340"/>
      <c r="Q21" s="339" t="s">
        <v>134</v>
      </c>
      <c r="R21" s="340"/>
      <c r="S21" s="343" t="s">
        <v>135</v>
      </c>
      <c r="T21" s="343" t="s">
        <v>136</v>
      </c>
      <c r="U21" s="343" t="s">
        <v>137</v>
      </c>
      <c r="V21" s="339" t="s">
        <v>138</v>
      </c>
      <c r="W21" s="340"/>
      <c r="X21" s="332" t="s">
        <v>107</v>
      </c>
      <c r="Y21" s="333"/>
      <c r="Z21" s="332" t="s">
        <v>108</v>
      </c>
      <c r="AA21" s="333"/>
    </row>
    <row r="22" spans="1:28" ht="216" customHeight="1" x14ac:dyDescent="0.25">
      <c r="A22" s="344"/>
      <c r="B22" s="341"/>
      <c r="C22" s="342"/>
      <c r="D22" s="341"/>
      <c r="E22" s="342"/>
      <c r="F22" s="332" t="s">
        <v>139</v>
      </c>
      <c r="G22" s="346"/>
      <c r="H22" s="332" t="s">
        <v>140</v>
      </c>
      <c r="I22" s="346"/>
      <c r="J22" s="345"/>
      <c r="K22" s="341"/>
      <c r="L22" s="342"/>
      <c r="M22" s="341"/>
      <c r="N22" s="342"/>
      <c r="O22" s="341"/>
      <c r="P22" s="342"/>
      <c r="Q22" s="341"/>
      <c r="R22" s="342"/>
      <c r="S22" s="345"/>
      <c r="T22" s="345"/>
      <c r="U22" s="345"/>
      <c r="V22" s="341"/>
      <c r="W22" s="342"/>
      <c r="X22" s="40" t="s">
        <v>109</v>
      </c>
      <c r="Y22" s="40" t="s">
        <v>110</v>
      </c>
      <c r="Z22" s="40" t="s">
        <v>111</v>
      </c>
      <c r="AA22" s="40" t="s">
        <v>112</v>
      </c>
    </row>
    <row r="23" spans="1:28" ht="60" customHeight="1" x14ac:dyDescent="0.25">
      <c r="A23" s="345"/>
      <c r="B23" s="39" t="s">
        <v>113</v>
      </c>
      <c r="C23" s="39" t="s">
        <v>114</v>
      </c>
      <c r="D23" s="39" t="s">
        <v>113</v>
      </c>
      <c r="E23" s="39" t="s">
        <v>114</v>
      </c>
      <c r="F23" s="39" t="s">
        <v>113</v>
      </c>
      <c r="G23" s="39" t="s">
        <v>114</v>
      </c>
      <c r="H23" s="39" t="s">
        <v>113</v>
      </c>
      <c r="I23" s="39" t="s">
        <v>114</v>
      </c>
      <c r="J23" s="39" t="s">
        <v>113</v>
      </c>
      <c r="K23" s="39" t="s">
        <v>113</v>
      </c>
      <c r="L23" s="39" t="s">
        <v>114</v>
      </c>
      <c r="M23" s="39" t="s">
        <v>113</v>
      </c>
      <c r="N23" s="39" t="s">
        <v>114</v>
      </c>
      <c r="O23" s="39" t="s">
        <v>113</v>
      </c>
      <c r="P23" s="39" t="s">
        <v>114</v>
      </c>
      <c r="Q23" s="39" t="s">
        <v>113</v>
      </c>
      <c r="R23" s="39" t="s">
        <v>114</v>
      </c>
      <c r="S23" s="39" t="s">
        <v>113</v>
      </c>
      <c r="T23" s="39" t="s">
        <v>113</v>
      </c>
      <c r="U23" s="39" t="s">
        <v>113</v>
      </c>
      <c r="V23" s="39" t="s">
        <v>113</v>
      </c>
      <c r="W23" s="39" t="s">
        <v>114</v>
      </c>
      <c r="X23" s="39" t="s">
        <v>113</v>
      </c>
      <c r="Y23" s="39" t="s">
        <v>113</v>
      </c>
      <c r="Z23" s="40" t="s">
        <v>113</v>
      </c>
      <c r="AA23" s="40" t="s">
        <v>113</v>
      </c>
    </row>
    <row r="24" spans="1:28"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8" s="38" customFormat="1" ht="31.5" x14ac:dyDescent="0.25">
      <c r="A25" s="53">
        <v>1</v>
      </c>
      <c r="B25" s="43" t="s">
        <v>141</v>
      </c>
      <c r="C25" s="43" t="str">
        <f t="shared" ref="C25:C50" si="0">B25</f>
        <v>КЛ-6 кВ ПС О-53 - РП-III (6-11)</v>
      </c>
      <c r="D25" s="43" t="s">
        <v>142</v>
      </c>
      <c r="E25" s="43" t="str">
        <f t="shared" ref="E25:E50" si="1">D25</f>
        <v>от ПС 0-53 до переходной муфты MCI (т. «Е»)</v>
      </c>
      <c r="F25" s="53">
        <v>6</v>
      </c>
      <c r="G25" s="53">
        <v>6</v>
      </c>
      <c r="H25" s="53">
        <v>6</v>
      </c>
      <c r="I25" s="53">
        <v>6</v>
      </c>
      <c r="J25" s="53" t="s">
        <v>23</v>
      </c>
      <c r="K25" s="53">
        <v>1</v>
      </c>
      <c r="L25" s="53">
        <v>1</v>
      </c>
      <c r="M25" s="53">
        <v>240</v>
      </c>
      <c r="N25" s="53">
        <v>240</v>
      </c>
      <c r="O25" s="53" t="s">
        <v>143</v>
      </c>
      <c r="P25" s="53" t="s">
        <v>143</v>
      </c>
      <c r="Q25" s="54">
        <v>0.39</v>
      </c>
      <c r="R25" s="54">
        <v>0.39</v>
      </c>
      <c r="S25" s="53" t="s">
        <v>96</v>
      </c>
      <c r="T25" s="53" t="s">
        <v>96</v>
      </c>
      <c r="U25" s="53" t="s">
        <v>96</v>
      </c>
      <c r="V25" s="53" t="s">
        <v>144</v>
      </c>
      <c r="W25" s="53" t="s">
        <v>144</v>
      </c>
      <c r="X25" s="55" t="s">
        <v>96</v>
      </c>
      <c r="Y25" s="55" t="s">
        <v>96</v>
      </c>
      <c r="Z25" s="55" t="s">
        <v>96</v>
      </c>
      <c r="AA25" s="55" t="s">
        <v>96</v>
      </c>
      <c r="AB25" s="38" t="s">
        <v>145</v>
      </c>
    </row>
    <row r="26" spans="1:28" s="38" customFormat="1" ht="31.5" x14ac:dyDescent="0.25">
      <c r="A26" s="53">
        <v>2</v>
      </c>
      <c r="B26" s="43" t="s">
        <v>146</v>
      </c>
      <c r="C26" s="43" t="str">
        <f t="shared" si="0"/>
        <v>КЛ-10 кВ ПС О-53- ТП-687 (10-02)</v>
      </c>
      <c r="D26" s="43" t="s">
        <v>147</v>
      </c>
      <c r="E26" s="43" t="str">
        <f t="shared" si="1"/>
        <v>от ПС 0-53 до соед. муфты МС2 (т. «Б»)</v>
      </c>
      <c r="F26" s="53">
        <v>10</v>
      </c>
      <c r="G26" s="53">
        <v>10</v>
      </c>
      <c r="H26" s="53">
        <v>10</v>
      </c>
      <c r="I26" s="53">
        <v>10</v>
      </c>
      <c r="J26" s="53" t="s">
        <v>23</v>
      </c>
      <c r="K26" s="53">
        <v>1</v>
      </c>
      <c r="L26" s="53">
        <v>1</v>
      </c>
      <c r="M26" s="53">
        <v>240</v>
      </c>
      <c r="N26" s="53">
        <v>240</v>
      </c>
      <c r="O26" s="53" t="s">
        <v>143</v>
      </c>
      <c r="P26" s="53" t="s">
        <v>143</v>
      </c>
      <c r="Q26" s="54">
        <v>0.39</v>
      </c>
      <c r="R26" s="54">
        <v>0.39</v>
      </c>
      <c r="S26" s="53" t="s">
        <v>96</v>
      </c>
      <c r="T26" s="53" t="s">
        <v>96</v>
      </c>
      <c r="U26" s="53" t="s">
        <v>96</v>
      </c>
      <c r="V26" s="53" t="s">
        <v>144</v>
      </c>
      <c r="W26" s="53" t="s">
        <v>144</v>
      </c>
      <c r="X26" s="55" t="s">
        <v>96</v>
      </c>
      <c r="Y26" s="55" t="s">
        <v>96</v>
      </c>
      <c r="Z26" s="55" t="s">
        <v>96</v>
      </c>
      <c r="AA26" s="55" t="s">
        <v>96</v>
      </c>
      <c r="AB26" s="38" t="s">
        <v>145</v>
      </c>
    </row>
    <row r="27" spans="1:28" s="38" customFormat="1" ht="31.5" x14ac:dyDescent="0.25">
      <c r="A27" s="53">
        <v>3</v>
      </c>
      <c r="B27" s="43" t="s">
        <v>148</v>
      </c>
      <c r="C27" s="43" t="str">
        <f t="shared" si="0"/>
        <v>КЛ-6 кВ ПС О-53 - РП-III (6-20)</v>
      </c>
      <c r="D27" s="43" t="s">
        <v>149</v>
      </c>
      <c r="E27" s="43" t="str">
        <f t="shared" si="1"/>
        <v>от ПС 0-53 до переходной муфты МСЗ (т. «Е»)</v>
      </c>
      <c r="F27" s="53">
        <v>6</v>
      </c>
      <c r="G27" s="53">
        <v>6</v>
      </c>
      <c r="H27" s="53">
        <v>6</v>
      </c>
      <c r="I27" s="53">
        <v>6</v>
      </c>
      <c r="J27" s="53" t="s">
        <v>23</v>
      </c>
      <c r="K27" s="53">
        <v>1</v>
      </c>
      <c r="L27" s="53">
        <v>1</v>
      </c>
      <c r="M27" s="53">
        <v>240</v>
      </c>
      <c r="N27" s="53">
        <v>240</v>
      </c>
      <c r="O27" s="53" t="s">
        <v>143</v>
      </c>
      <c r="P27" s="53" t="s">
        <v>143</v>
      </c>
      <c r="Q27" s="54">
        <v>0.39300000000000002</v>
      </c>
      <c r="R27" s="54">
        <v>0.39300000000000002</v>
      </c>
      <c r="S27" s="53" t="s">
        <v>96</v>
      </c>
      <c r="T27" s="53" t="s">
        <v>96</v>
      </c>
      <c r="U27" s="53" t="s">
        <v>96</v>
      </c>
      <c r="V27" s="53" t="s">
        <v>144</v>
      </c>
      <c r="W27" s="53" t="s">
        <v>144</v>
      </c>
      <c r="X27" s="55" t="s">
        <v>96</v>
      </c>
      <c r="Y27" s="55" t="s">
        <v>96</v>
      </c>
      <c r="Z27" s="55" t="s">
        <v>96</v>
      </c>
      <c r="AA27" s="55" t="s">
        <v>96</v>
      </c>
      <c r="AB27" s="38" t="s">
        <v>145</v>
      </c>
    </row>
    <row r="28" spans="1:28" s="38" customFormat="1" ht="31.5" x14ac:dyDescent="0.25">
      <c r="A28" s="53">
        <v>4</v>
      </c>
      <c r="B28" s="43" t="s">
        <v>150</v>
      </c>
      <c r="C28" s="43" t="str">
        <f t="shared" si="0"/>
        <v>КЛ-6 кВ ПС О-53- РП-IV (6-19)</v>
      </c>
      <c r="D28" s="43" t="s">
        <v>151</v>
      </c>
      <c r="E28" s="43" t="str">
        <f t="shared" si="1"/>
        <v xml:space="preserve"> от ПС 0-53 до переходной муфты МС4 (т. «Г»)</v>
      </c>
      <c r="F28" s="53">
        <v>6</v>
      </c>
      <c r="G28" s="53">
        <v>6</v>
      </c>
      <c r="H28" s="53">
        <v>6</v>
      </c>
      <c r="I28" s="53">
        <v>6</v>
      </c>
      <c r="J28" s="53" t="s">
        <v>23</v>
      </c>
      <c r="K28" s="53">
        <v>1</v>
      </c>
      <c r="L28" s="53">
        <v>1</v>
      </c>
      <c r="M28" s="53">
        <v>120</v>
      </c>
      <c r="N28" s="53">
        <v>240</v>
      </c>
      <c r="O28" s="53" t="s">
        <v>143</v>
      </c>
      <c r="P28" s="53" t="s">
        <v>143</v>
      </c>
      <c r="Q28" s="54">
        <v>0.35</v>
      </c>
      <c r="R28" s="54">
        <v>0.35</v>
      </c>
      <c r="S28" s="53" t="s">
        <v>96</v>
      </c>
      <c r="T28" s="53" t="s">
        <v>96</v>
      </c>
      <c r="U28" s="53" t="s">
        <v>96</v>
      </c>
      <c r="V28" s="53" t="s">
        <v>144</v>
      </c>
      <c r="W28" s="53" t="s">
        <v>144</v>
      </c>
      <c r="X28" s="55" t="s">
        <v>96</v>
      </c>
      <c r="Y28" s="55" t="s">
        <v>96</v>
      </c>
      <c r="Z28" s="55" t="s">
        <v>96</v>
      </c>
      <c r="AA28" s="55" t="s">
        <v>96</v>
      </c>
      <c r="AB28" s="38" t="s">
        <v>145</v>
      </c>
    </row>
    <row r="29" spans="1:28" s="38" customFormat="1" ht="31.5" x14ac:dyDescent="0.25">
      <c r="A29" s="53">
        <v>5</v>
      </c>
      <c r="B29" s="43" t="s">
        <v>152</v>
      </c>
      <c r="C29" s="43" t="str">
        <f t="shared" si="0"/>
        <v>КЛ-6 кВ ПС О-53- РП-IV (6-01)</v>
      </c>
      <c r="D29" s="43" t="s">
        <v>153</v>
      </c>
      <c r="E29" s="43" t="str">
        <f t="shared" si="1"/>
        <v>от ПС 0-53 до переходной муфты МС5 (т. «Г»)</v>
      </c>
      <c r="F29" s="53">
        <v>6</v>
      </c>
      <c r="G29" s="53">
        <v>6</v>
      </c>
      <c r="H29" s="53">
        <v>6</v>
      </c>
      <c r="I29" s="53">
        <v>6</v>
      </c>
      <c r="J29" s="53" t="s">
        <v>23</v>
      </c>
      <c r="K29" s="53">
        <v>1</v>
      </c>
      <c r="L29" s="53">
        <v>1</v>
      </c>
      <c r="M29" s="53">
        <v>240</v>
      </c>
      <c r="N29" s="53">
        <v>240</v>
      </c>
      <c r="O29" s="53" t="s">
        <v>143</v>
      </c>
      <c r="P29" s="53" t="s">
        <v>143</v>
      </c>
      <c r="Q29" s="54">
        <v>0.35199999999999998</v>
      </c>
      <c r="R29" s="54">
        <v>0.35199999999999998</v>
      </c>
      <c r="S29" s="53" t="s">
        <v>96</v>
      </c>
      <c r="T29" s="53" t="s">
        <v>96</v>
      </c>
      <c r="U29" s="53" t="s">
        <v>96</v>
      </c>
      <c r="V29" s="53" t="s">
        <v>144</v>
      </c>
      <c r="W29" s="53" t="s">
        <v>144</v>
      </c>
      <c r="X29" s="55" t="s">
        <v>96</v>
      </c>
      <c r="Y29" s="55" t="s">
        <v>96</v>
      </c>
      <c r="Z29" s="55" t="s">
        <v>96</v>
      </c>
      <c r="AA29" s="55" t="s">
        <v>96</v>
      </c>
      <c r="AB29" s="38" t="s">
        <v>145</v>
      </c>
    </row>
    <row r="30" spans="1:28" s="38" customFormat="1" ht="31.5" x14ac:dyDescent="0.25">
      <c r="A30" s="53">
        <v>6</v>
      </c>
      <c r="B30" s="43" t="s">
        <v>154</v>
      </c>
      <c r="C30" s="43" t="str">
        <f t="shared" si="0"/>
        <v>КЛ-6 кВ ПС О-53- РП-IV (6-22)</v>
      </c>
      <c r="D30" s="43" t="s">
        <v>155</v>
      </c>
      <c r="E30" s="43" t="str">
        <f t="shared" si="1"/>
        <v>от ПС 0-53 до переходной муфты МС6 (т. «Г»)</v>
      </c>
      <c r="F30" s="53">
        <v>6</v>
      </c>
      <c r="G30" s="53">
        <v>6</v>
      </c>
      <c r="H30" s="53">
        <v>6</v>
      </c>
      <c r="I30" s="53">
        <v>6</v>
      </c>
      <c r="J30" s="53" t="s">
        <v>23</v>
      </c>
      <c r="K30" s="53">
        <v>1</v>
      </c>
      <c r="L30" s="53">
        <v>1</v>
      </c>
      <c r="M30" s="53">
        <v>240</v>
      </c>
      <c r="N30" s="53">
        <v>240</v>
      </c>
      <c r="O30" s="53" t="s">
        <v>143</v>
      </c>
      <c r="P30" s="53" t="s">
        <v>143</v>
      </c>
      <c r="Q30" s="54">
        <v>0.35599999999999998</v>
      </c>
      <c r="R30" s="54">
        <v>0.35599999999999998</v>
      </c>
      <c r="S30" s="53" t="s">
        <v>96</v>
      </c>
      <c r="T30" s="53" t="s">
        <v>96</v>
      </c>
      <c r="U30" s="53" t="s">
        <v>96</v>
      </c>
      <c r="V30" s="53" t="s">
        <v>144</v>
      </c>
      <c r="W30" s="53" t="s">
        <v>144</v>
      </c>
      <c r="X30" s="55" t="s">
        <v>96</v>
      </c>
      <c r="Y30" s="55" t="s">
        <v>96</v>
      </c>
      <c r="Z30" s="55" t="s">
        <v>96</v>
      </c>
      <c r="AA30" s="55" t="s">
        <v>96</v>
      </c>
      <c r="AB30" s="38" t="s">
        <v>145</v>
      </c>
    </row>
    <row r="31" spans="1:28" s="38" customFormat="1" ht="31.5" x14ac:dyDescent="0.25">
      <c r="A31" s="53">
        <v>7</v>
      </c>
      <c r="B31" s="43" t="s">
        <v>156</v>
      </c>
      <c r="C31" s="43" t="str">
        <f t="shared" si="0"/>
        <v>КЛ-10 кВ ПС О-53 - РП-XV (10-34)</v>
      </c>
      <c r="D31" s="43" t="s">
        <v>157</v>
      </c>
      <c r="E31" s="43" t="str">
        <f t="shared" si="1"/>
        <v>от ПС 0-53 до соед. муфты МС8 (т. «И»)</v>
      </c>
      <c r="F31" s="53">
        <v>10</v>
      </c>
      <c r="G31" s="53">
        <v>10</v>
      </c>
      <c r="H31" s="53">
        <v>10</v>
      </c>
      <c r="I31" s="53">
        <v>10</v>
      </c>
      <c r="J31" s="53" t="s">
        <v>23</v>
      </c>
      <c r="K31" s="53">
        <v>1</v>
      </c>
      <c r="L31" s="53">
        <v>1</v>
      </c>
      <c r="M31" s="53">
        <v>500</v>
      </c>
      <c r="N31" s="53">
        <v>500</v>
      </c>
      <c r="O31" s="53" t="s">
        <v>143</v>
      </c>
      <c r="P31" s="53" t="s">
        <v>143</v>
      </c>
      <c r="Q31" s="54">
        <v>0.28999999999999998</v>
      </c>
      <c r="R31" s="54">
        <v>0.28999999999999998</v>
      </c>
      <c r="S31" s="53" t="s">
        <v>96</v>
      </c>
      <c r="T31" s="53" t="s">
        <v>96</v>
      </c>
      <c r="U31" s="53" t="s">
        <v>96</v>
      </c>
      <c r="V31" s="53" t="s">
        <v>144</v>
      </c>
      <c r="W31" s="53" t="s">
        <v>144</v>
      </c>
      <c r="X31" s="55" t="s">
        <v>96</v>
      </c>
      <c r="Y31" s="55" t="s">
        <v>96</v>
      </c>
      <c r="Z31" s="55" t="s">
        <v>96</v>
      </c>
      <c r="AA31" s="55" t="s">
        <v>96</v>
      </c>
      <c r="AB31" s="38" t="s">
        <v>145</v>
      </c>
    </row>
    <row r="32" spans="1:28" s="38" customFormat="1" ht="31.5" x14ac:dyDescent="0.25">
      <c r="A32" s="53">
        <v>8</v>
      </c>
      <c r="B32" s="43" t="s">
        <v>158</v>
      </c>
      <c r="C32" s="43" t="str">
        <f t="shared" si="0"/>
        <v>КЛ-10 кВ ПС О-53- ТП-972 (10-05)</v>
      </c>
      <c r="D32" s="43" t="s">
        <v>159</v>
      </c>
      <c r="E32" s="43" t="str">
        <f t="shared" si="1"/>
        <v>от ПС 0-53 до соед. муфты МС9 (т. «И»)</v>
      </c>
      <c r="F32" s="53">
        <v>10</v>
      </c>
      <c r="G32" s="53">
        <v>10</v>
      </c>
      <c r="H32" s="53">
        <v>10</v>
      </c>
      <c r="I32" s="53">
        <v>10</v>
      </c>
      <c r="J32" s="53" t="s">
        <v>23</v>
      </c>
      <c r="K32" s="53">
        <v>1</v>
      </c>
      <c r="L32" s="53">
        <v>1</v>
      </c>
      <c r="M32" s="53">
        <v>240</v>
      </c>
      <c r="N32" s="53">
        <v>240</v>
      </c>
      <c r="O32" s="53" t="s">
        <v>143</v>
      </c>
      <c r="P32" s="53" t="s">
        <v>143</v>
      </c>
      <c r="Q32" s="54">
        <v>0.24299999999999999</v>
      </c>
      <c r="R32" s="54">
        <v>0.24299999999999999</v>
      </c>
      <c r="S32" s="53" t="s">
        <v>96</v>
      </c>
      <c r="T32" s="53" t="s">
        <v>96</v>
      </c>
      <c r="U32" s="53" t="s">
        <v>96</v>
      </c>
      <c r="V32" s="53" t="s">
        <v>144</v>
      </c>
      <c r="W32" s="53" t="s">
        <v>144</v>
      </c>
      <c r="X32" s="55" t="s">
        <v>96</v>
      </c>
      <c r="Y32" s="55" t="s">
        <v>96</v>
      </c>
      <c r="Z32" s="55" t="s">
        <v>96</v>
      </c>
      <c r="AA32" s="55" t="s">
        <v>96</v>
      </c>
      <c r="AB32" s="38" t="s">
        <v>145</v>
      </c>
    </row>
    <row r="33" spans="1:28" s="38" customFormat="1" ht="31.5" x14ac:dyDescent="0.25">
      <c r="A33" s="53">
        <v>9</v>
      </c>
      <c r="B33" s="43" t="s">
        <v>160</v>
      </c>
      <c r="C33" s="43" t="str">
        <f t="shared" si="0"/>
        <v>КЛ-10 кВ ПС О-53- ТП-971 (10-21)</v>
      </c>
      <c r="D33" s="43" t="s">
        <v>161</v>
      </c>
      <c r="E33" s="43" t="str">
        <f t="shared" si="1"/>
        <v>от ПС 0-53 до соед. муфты MC10 (т. «И»)</v>
      </c>
      <c r="F33" s="53">
        <v>10</v>
      </c>
      <c r="G33" s="53">
        <v>10</v>
      </c>
      <c r="H33" s="53">
        <v>10</v>
      </c>
      <c r="I33" s="53">
        <v>10</v>
      </c>
      <c r="J33" s="53" t="s">
        <v>23</v>
      </c>
      <c r="K33" s="53">
        <v>1</v>
      </c>
      <c r="L33" s="53">
        <v>1</v>
      </c>
      <c r="M33" s="53">
        <v>240</v>
      </c>
      <c r="N33" s="53">
        <v>240</v>
      </c>
      <c r="O33" s="53" t="s">
        <v>143</v>
      </c>
      <c r="P33" s="53" t="s">
        <v>143</v>
      </c>
      <c r="Q33" s="54">
        <v>0.252</v>
      </c>
      <c r="R33" s="54">
        <v>0.252</v>
      </c>
      <c r="S33" s="53" t="s">
        <v>96</v>
      </c>
      <c r="T33" s="53" t="s">
        <v>96</v>
      </c>
      <c r="U33" s="53" t="s">
        <v>96</v>
      </c>
      <c r="V33" s="53" t="s">
        <v>144</v>
      </c>
      <c r="W33" s="53" t="s">
        <v>144</v>
      </c>
      <c r="X33" s="55" t="s">
        <v>96</v>
      </c>
      <c r="Y33" s="55" t="s">
        <v>96</v>
      </c>
      <c r="Z33" s="55" t="s">
        <v>96</v>
      </c>
      <c r="AA33" s="55" t="s">
        <v>96</v>
      </c>
      <c r="AB33" s="38" t="s">
        <v>145</v>
      </c>
    </row>
    <row r="34" spans="1:28" s="38" customFormat="1" ht="31.5" x14ac:dyDescent="0.25">
      <c r="A34" s="53">
        <v>10</v>
      </c>
      <c r="B34" s="43" t="s">
        <v>162</v>
      </c>
      <c r="C34" s="43" t="str">
        <f t="shared" si="0"/>
        <v>КЛ-6 кВ ПС О-53- РП-IХ (6-16)</v>
      </c>
      <c r="D34" s="43" t="s">
        <v>163</v>
      </c>
      <c r="E34" s="43" t="str">
        <f t="shared" si="1"/>
        <v>от ПС 0-53 до переходной муфты MC11 (т. «Ж»)</v>
      </c>
      <c r="F34" s="53">
        <v>6</v>
      </c>
      <c r="G34" s="53">
        <v>6</v>
      </c>
      <c r="H34" s="53">
        <v>6</v>
      </c>
      <c r="I34" s="53">
        <v>6</v>
      </c>
      <c r="J34" s="53" t="s">
        <v>23</v>
      </c>
      <c r="K34" s="53">
        <v>1</v>
      </c>
      <c r="L34" s="53">
        <v>1</v>
      </c>
      <c r="M34" s="53">
        <v>240</v>
      </c>
      <c r="N34" s="53">
        <v>240</v>
      </c>
      <c r="O34" s="53" t="s">
        <v>143</v>
      </c>
      <c r="P34" s="53" t="s">
        <v>143</v>
      </c>
      <c r="Q34" s="54">
        <v>0.31</v>
      </c>
      <c r="R34" s="54">
        <v>0.31</v>
      </c>
      <c r="S34" s="53" t="s">
        <v>96</v>
      </c>
      <c r="T34" s="53" t="s">
        <v>96</v>
      </c>
      <c r="U34" s="53" t="s">
        <v>96</v>
      </c>
      <c r="V34" s="53" t="s">
        <v>144</v>
      </c>
      <c r="W34" s="53" t="s">
        <v>144</v>
      </c>
      <c r="X34" s="55" t="s">
        <v>96</v>
      </c>
      <c r="Y34" s="55" t="s">
        <v>96</v>
      </c>
      <c r="Z34" s="55" t="s">
        <v>96</v>
      </c>
      <c r="AA34" s="55" t="s">
        <v>96</v>
      </c>
      <c r="AB34" s="38" t="s">
        <v>145</v>
      </c>
    </row>
    <row r="35" spans="1:28" s="38" customFormat="1" ht="31.5" x14ac:dyDescent="0.25">
      <c r="A35" s="53">
        <v>11</v>
      </c>
      <c r="B35" s="43" t="s">
        <v>164</v>
      </c>
      <c r="C35" s="43" t="str">
        <f t="shared" si="0"/>
        <v>КЛ-10 кВ ПС О-53- ТП-140 (10-30)</v>
      </c>
      <c r="D35" s="43" t="s">
        <v>165</v>
      </c>
      <c r="E35" s="43" t="str">
        <f t="shared" si="1"/>
        <v>от ПС 0-53 до переходной муфты МС12 (т. «Ж»)</v>
      </c>
      <c r="F35" s="53">
        <v>10</v>
      </c>
      <c r="G35" s="53">
        <v>10</v>
      </c>
      <c r="H35" s="53">
        <v>10</v>
      </c>
      <c r="I35" s="53">
        <v>10</v>
      </c>
      <c r="J35" s="53" t="s">
        <v>23</v>
      </c>
      <c r="K35" s="53">
        <v>1</v>
      </c>
      <c r="L35" s="53">
        <v>1</v>
      </c>
      <c r="M35" s="53">
        <v>150</v>
      </c>
      <c r="N35" s="53">
        <v>240</v>
      </c>
      <c r="O35" s="53" t="s">
        <v>143</v>
      </c>
      <c r="P35" s="53" t="s">
        <v>143</v>
      </c>
      <c r="Q35" s="54">
        <v>0.30299999999999999</v>
      </c>
      <c r="R35" s="54">
        <v>0.30299999999999999</v>
      </c>
      <c r="S35" s="53" t="s">
        <v>96</v>
      </c>
      <c r="T35" s="53" t="s">
        <v>96</v>
      </c>
      <c r="U35" s="53" t="s">
        <v>96</v>
      </c>
      <c r="V35" s="53" t="s">
        <v>144</v>
      </c>
      <c r="W35" s="53" t="s">
        <v>144</v>
      </c>
      <c r="X35" s="55" t="s">
        <v>96</v>
      </c>
      <c r="Y35" s="55" t="s">
        <v>96</v>
      </c>
      <c r="Z35" s="55" t="s">
        <v>96</v>
      </c>
      <c r="AA35" s="55" t="s">
        <v>96</v>
      </c>
      <c r="AB35" s="38" t="s">
        <v>145</v>
      </c>
    </row>
    <row r="36" spans="1:28" s="38" customFormat="1" ht="31.5" x14ac:dyDescent="0.25">
      <c r="A36" s="53">
        <v>12</v>
      </c>
      <c r="B36" s="43" t="s">
        <v>166</v>
      </c>
      <c r="C36" s="43" t="str">
        <f t="shared" si="0"/>
        <v>КЛ-6 кВ ПС О-53- РП-IХ (6-15)</v>
      </c>
      <c r="D36" s="43" t="s">
        <v>167</v>
      </c>
      <c r="E36" s="43" t="str">
        <f t="shared" si="1"/>
        <v>от ПС 0-53 до переходной муфты МС13 (т. «Ж»)</v>
      </c>
      <c r="F36" s="53">
        <v>6</v>
      </c>
      <c r="G36" s="53">
        <v>6</v>
      </c>
      <c r="H36" s="53">
        <v>6</v>
      </c>
      <c r="I36" s="53">
        <v>6</v>
      </c>
      <c r="J36" s="53" t="s">
        <v>23</v>
      </c>
      <c r="K36" s="53">
        <v>1</v>
      </c>
      <c r="L36" s="53">
        <v>1</v>
      </c>
      <c r="M36" s="53">
        <v>150</v>
      </c>
      <c r="N36" s="53">
        <v>240</v>
      </c>
      <c r="O36" s="53" t="s">
        <v>143</v>
      </c>
      <c r="P36" s="53" t="s">
        <v>143</v>
      </c>
      <c r="Q36" s="54">
        <v>0.30499999999999999</v>
      </c>
      <c r="R36" s="54">
        <v>0.30499999999999999</v>
      </c>
      <c r="S36" s="53" t="s">
        <v>96</v>
      </c>
      <c r="T36" s="53" t="s">
        <v>96</v>
      </c>
      <c r="U36" s="53" t="s">
        <v>96</v>
      </c>
      <c r="V36" s="53" t="s">
        <v>144</v>
      </c>
      <c r="W36" s="53" t="s">
        <v>144</v>
      </c>
      <c r="X36" s="55" t="s">
        <v>96</v>
      </c>
      <c r="Y36" s="55" t="s">
        <v>96</v>
      </c>
      <c r="Z36" s="55" t="s">
        <v>96</v>
      </c>
      <c r="AA36" s="55" t="s">
        <v>96</v>
      </c>
      <c r="AB36" s="38" t="s">
        <v>145</v>
      </c>
    </row>
    <row r="37" spans="1:28" s="38" customFormat="1" ht="31.5" x14ac:dyDescent="0.25">
      <c r="A37" s="53">
        <v>13</v>
      </c>
      <c r="B37" s="43" t="s">
        <v>168</v>
      </c>
      <c r="C37" s="43" t="str">
        <f t="shared" si="0"/>
        <v>КЛ-10 кВ ПС О-53- РП-Х (10-28)</v>
      </c>
      <c r="D37" s="43" t="s">
        <v>169</v>
      </c>
      <c r="E37" s="43" t="str">
        <f t="shared" si="1"/>
        <v>от ПС 0-53 до переходной муфты МС14 (т. «Ж»)</v>
      </c>
      <c r="F37" s="53">
        <v>10</v>
      </c>
      <c r="G37" s="53">
        <v>10</v>
      </c>
      <c r="H37" s="53">
        <v>10</v>
      </c>
      <c r="I37" s="53">
        <v>10</v>
      </c>
      <c r="J37" s="53" t="s">
        <v>23</v>
      </c>
      <c r="K37" s="53">
        <v>1</v>
      </c>
      <c r="L37" s="53">
        <v>1</v>
      </c>
      <c r="M37" s="53">
        <v>240</v>
      </c>
      <c r="N37" s="53">
        <v>240</v>
      </c>
      <c r="O37" s="53" t="s">
        <v>143</v>
      </c>
      <c r="P37" s="53" t="s">
        <v>143</v>
      </c>
      <c r="Q37" s="54">
        <v>0.32500000000000001</v>
      </c>
      <c r="R37" s="54">
        <v>0.32500000000000001</v>
      </c>
      <c r="S37" s="53" t="s">
        <v>96</v>
      </c>
      <c r="T37" s="53" t="s">
        <v>96</v>
      </c>
      <c r="U37" s="53" t="s">
        <v>96</v>
      </c>
      <c r="V37" s="53" t="s">
        <v>144</v>
      </c>
      <c r="W37" s="53" t="s">
        <v>144</v>
      </c>
      <c r="X37" s="55" t="s">
        <v>96</v>
      </c>
      <c r="Y37" s="55" t="s">
        <v>96</v>
      </c>
      <c r="Z37" s="55" t="s">
        <v>96</v>
      </c>
      <c r="AA37" s="55" t="s">
        <v>96</v>
      </c>
      <c r="AB37" s="38" t="s">
        <v>145</v>
      </c>
    </row>
    <row r="38" spans="1:28" s="38" customFormat="1" ht="31.5" x14ac:dyDescent="0.25">
      <c r="A38" s="53">
        <v>14</v>
      </c>
      <c r="B38" s="43" t="s">
        <v>170</v>
      </c>
      <c r="C38" s="43" t="str">
        <f t="shared" si="0"/>
        <v>КЛ-10 кВ ПС О-53- РП-Х (10-06)</v>
      </c>
      <c r="D38" s="43" t="s">
        <v>171</v>
      </c>
      <c r="E38" s="43" t="str">
        <f t="shared" si="1"/>
        <v>от ПС 0-53 до соед, муфты МС15 (т. «Ж»)</v>
      </c>
      <c r="F38" s="53">
        <v>10</v>
      </c>
      <c r="G38" s="53">
        <v>10</v>
      </c>
      <c r="H38" s="53">
        <v>10</v>
      </c>
      <c r="I38" s="53">
        <v>10</v>
      </c>
      <c r="J38" s="53" t="s">
        <v>23</v>
      </c>
      <c r="K38" s="53">
        <v>1</v>
      </c>
      <c r="L38" s="53">
        <v>1</v>
      </c>
      <c r="M38" s="53">
        <v>240</v>
      </c>
      <c r="N38" s="53">
        <v>240</v>
      </c>
      <c r="O38" s="53" t="s">
        <v>143</v>
      </c>
      <c r="P38" s="53" t="s">
        <v>143</v>
      </c>
      <c r="Q38" s="54">
        <v>0.32500000000000001</v>
      </c>
      <c r="R38" s="54">
        <v>0.32500000000000001</v>
      </c>
      <c r="S38" s="53" t="s">
        <v>96</v>
      </c>
      <c r="T38" s="53" t="s">
        <v>96</v>
      </c>
      <c r="U38" s="53" t="s">
        <v>96</v>
      </c>
      <c r="V38" s="53" t="s">
        <v>144</v>
      </c>
      <c r="W38" s="53" t="s">
        <v>144</v>
      </c>
      <c r="X38" s="55" t="s">
        <v>96</v>
      </c>
      <c r="Y38" s="55" t="s">
        <v>96</v>
      </c>
      <c r="Z38" s="55" t="s">
        <v>96</v>
      </c>
      <c r="AA38" s="55" t="s">
        <v>96</v>
      </c>
      <c r="AB38" s="38" t="s">
        <v>145</v>
      </c>
    </row>
    <row r="39" spans="1:28" s="38" customFormat="1" ht="31.5" x14ac:dyDescent="0.25">
      <c r="A39" s="53">
        <v>15</v>
      </c>
      <c r="B39" s="43" t="s">
        <v>172</v>
      </c>
      <c r="C39" s="43" t="str">
        <f t="shared" si="0"/>
        <v>КЛ-10 кВ ПС О-53- РП-I (10-12)</v>
      </c>
      <c r="D39" s="43" t="s">
        <v>173</v>
      </c>
      <c r="E39" s="43" t="str">
        <f t="shared" si="1"/>
        <v>от ПС 0-53 до переходной муфты MC16 (т. «Ж»)</v>
      </c>
      <c r="F39" s="53">
        <v>10</v>
      </c>
      <c r="G39" s="53">
        <v>10</v>
      </c>
      <c r="H39" s="53">
        <v>10</v>
      </c>
      <c r="I39" s="53">
        <v>10</v>
      </c>
      <c r="J39" s="53" t="s">
        <v>23</v>
      </c>
      <c r="K39" s="53">
        <v>1</v>
      </c>
      <c r="L39" s="53">
        <v>1</v>
      </c>
      <c r="M39" s="53">
        <v>240</v>
      </c>
      <c r="N39" s="53">
        <v>240</v>
      </c>
      <c r="O39" s="53" t="s">
        <v>143</v>
      </c>
      <c r="P39" s="53" t="s">
        <v>143</v>
      </c>
      <c r="Q39" s="54">
        <v>0.315</v>
      </c>
      <c r="R39" s="54">
        <v>0.315</v>
      </c>
      <c r="S39" s="53" t="s">
        <v>96</v>
      </c>
      <c r="T39" s="53" t="s">
        <v>96</v>
      </c>
      <c r="U39" s="53" t="s">
        <v>96</v>
      </c>
      <c r="V39" s="53" t="s">
        <v>144</v>
      </c>
      <c r="W39" s="53" t="s">
        <v>144</v>
      </c>
      <c r="X39" s="55" t="s">
        <v>96</v>
      </c>
      <c r="Y39" s="55" t="s">
        <v>96</v>
      </c>
      <c r="Z39" s="55" t="s">
        <v>96</v>
      </c>
      <c r="AA39" s="55" t="s">
        <v>96</v>
      </c>
      <c r="AB39" s="38" t="s">
        <v>145</v>
      </c>
    </row>
    <row r="40" spans="1:28" s="38" customFormat="1" ht="31.5" x14ac:dyDescent="0.25">
      <c r="A40" s="53">
        <v>16</v>
      </c>
      <c r="B40" s="43" t="s">
        <v>174</v>
      </c>
      <c r="C40" s="43" t="str">
        <f t="shared" si="0"/>
        <v>КЛ-10 кВ ПС О-53 - РП-I (10-10)</v>
      </c>
      <c r="D40" s="43" t="s">
        <v>175</v>
      </c>
      <c r="E40" s="43" t="str">
        <f t="shared" si="1"/>
        <v>от ПС 0-53 до переходной муфты МС17 (т. «Ж»)</v>
      </c>
      <c r="F40" s="53">
        <v>10</v>
      </c>
      <c r="G40" s="53">
        <v>10</v>
      </c>
      <c r="H40" s="53">
        <v>10</v>
      </c>
      <c r="I40" s="53">
        <v>10</v>
      </c>
      <c r="J40" s="53" t="s">
        <v>23</v>
      </c>
      <c r="K40" s="53">
        <v>1</v>
      </c>
      <c r="L40" s="53">
        <v>1</v>
      </c>
      <c r="M40" s="53">
        <v>240</v>
      </c>
      <c r="N40" s="53">
        <v>240</v>
      </c>
      <c r="O40" s="53" t="s">
        <v>143</v>
      </c>
      <c r="P40" s="53" t="s">
        <v>143</v>
      </c>
      <c r="Q40" s="54">
        <v>0.29399999999999998</v>
      </c>
      <c r="R40" s="54">
        <v>0.29399999999999998</v>
      </c>
      <c r="S40" s="53" t="s">
        <v>96</v>
      </c>
      <c r="T40" s="53" t="s">
        <v>96</v>
      </c>
      <c r="U40" s="53" t="s">
        <v>96</v>
      </c>
      <c r="V40" s="53" t="s">
        <v>144</v>
      </c>
      <c r="W40" s="53" t="s">
        <v>144</v>
      </c>
      <c r="X40" s="55" t="s">
        <v>96</v>
      </c>
      <c r="Y40" s="55" t="s">
        <v>96</v>
      </c>
      <c r="Z40" s="55" t="s">
        <v>96</v>
      </c>
      <c r="AA40" s="55" t="s">
        <v>96</v>
      </c>
      <c r="AB40" s="38" t="s">
        <v>145</v>
      </c>
    </row>
    <row r="41" spans="1:28" s="38" customFormat="1" ht="31.5" x14ac:dyDescent="0.25">
      <c r="A41" s="53">
        <v>17</v>
      </c>
      <c r="B41" s="43" t="s">
        <v>176</v>
      </c>
      <c r="C41" s="43" t="str">
        <f t="shared" si="0"/>
        <v>КЛ-10 кВ ПС О-53 - РП-ХII (10-14)</v>
      </c>
      <c r="D41" s="43" t="s">
        <v>177</v>
      </c>
      <c r="E41" s="43" t="str">
        <f t="shared" si="1"/>
        <v>от ПС 0-53 до соед. муфты MC18 (т. «Ж»)</v>
      </c>
      <c r="F41" s="53">
        <v>10</v>
      </c>
      <c r="G41" s="53">
        <v>10</v>
      </c>
      <c r="H41" s="53">
        <v>10</v>
      </c>
      <c r="I41" s="53">
        <v>10</v>
      </c>
      <c r="J41" s="53" t="s">
        <v>23</v>
      </c>
      <c r="K41" s="53">
        <v>1</v>
      </c>
      <c r="L41" s="53">
        <v>1</v>
      </c>
      <c r="M41" s="53">
        <v>500</v>
      </c>
      <c r="N41" s="53">
        <v>500</v>
      </c>
      <c r="O41" s="53" t="s">
        <v>143</v>
      </c>
      <c r="P41" s="53" t="s">
        <v>143</v>
      </c>
      <c r="Q41" s="54">
        <v>0.27400000000000002</v>
      </c>
      <c r="R41" s="54">
        <v>0.27400000000000002</v>
      </c>
      <c r="S41" s="53" t="s">
        <v>96</v>
      </c>
      <c r="T41" s="53" t="s">
        <v>96</v>
      </c>
      <c r="U41" s="53" t="s">
        <v>96</v>
      </c>
      <c r="V41" s="53" t="s">
        <v>144</v>
      </c>
      <c r="W41" s="53" t="s">
        <v>144</v>
      </c>
      <c r="X41" s="55" t="s">
        <v>96</v>
      </c>
      <c r="Y41" s="55" t="s">
        <v>96</v>
      </c>
      <c r="Z41" s="55" t="s">
        <v>96</v>
      </c>
      <c r="AA41" s="55" t="s">
        <v>96</v>
      </c>
      <c r="AB41" s="38" t="s">
        <v>145</v>
      </c>
    </row>
    <row r="42" spans="1:28" s="38" customFormat="1" ht="31.5" x14ac:dyDescent="0.25">
      <c r="A42" s="53">
        <v>18</v>
      </c>
      <c r="B42" s="43" t="s">
        <v>178</v>
      </c>
      <c r="C42" s="43" t="str">
        <f t="shared" si="0"/>
        <v>КЛ-10 кВ ПС О-53 - РП-ХII (10-42)</v>
      </c>
      <c r="D42" s="43" t="s">
        <v>179</v>
      </c>
      <c r="E42" s="43" t="str">
        <f t="shared" si="1"/>
        <v>от ПС 0-53 до соед. муфты MC19 (т. «Ж»)</v>
      </c>
      <c r="F42" s="53">
        <v>10</v>
      </c>
      <c r="G42" s="53">
        <v>10</v>
      </c>
      <c r="H42" s="53">
        <v>10</v>
      </c>
      <c r="I42" s="53">
        <v>10</v>
      </c>
      <c r="J42" s="53" t="s">
        <v>23</v>
      </c>
      <c r="K42" s="53">
        <v>1</v>
      </c>
      <c r="L42" s="53">
        <v>1</v>
      </c>
      <c r="M42" s="53">
        <v>500</v>
      </c>
      <c r="N42" s="53">
        <v>500</v>
      </c>
      <c r="O42" s="53" t="s">
        <v>143</v>
      </c>
      <c r="P42" s="53" t="s">
        <v>143</v>
      </c>
      <c r="Q42" s="54">
        <v>0.27500000000000002</v>
      </c>
      <c r="R42" s="54">
        <v>0.27500000000000002</v>
      </c>
      <c r="S42" s="53" t="s">
        <v>96</v>
      </c>
      <c r="T42" s="53" t="s">
        <v>96</v>
      </c>
      <c r="U42" s="53" t="s">
        <v>96</v>
      </c>
      <c r="V42" s="53" t="s">
        <v>144</v>
      </c>
      <c r="W42" s="53" t="s">
        <v>144</v>
      </c>
      <c r="X42" s="55" t="s">
        <v>96</v>
      </c>
      <c r="Y42" s="55" t="s">
        <v>96</v>
      </c>
      <c r="Z42" s="55" t="s">
        <v>96</v>
      </c>
      <c r="AA42" s="55" t="s">
        <v>96</v>
      </c>
      <c r="AB42" s="38" t="s">
        <v>145</v>
      </c>
    </row>
    <row r="43" spans="1:28" s="38" customFormat="1" ht="47.25" x14ac:dyDescent="0.25">
      <c r="A43" s="53">
        <v>19</v>
      </c>
      <c r="B43" s="43" t="s">
        <v>180</v>
      </c>
      <c r="C43" s="43" t="str">
        <f t="shared" si="0"/>
        <v>КЛ-10 кВ ПС О-53 -ТП-303 (10-40)</v>
      </c>
      <c r="D43" s="43" t="s">
        <v>181</v>
      </c>
      <c r="E43" s="43" t="str">
        <f t="shared" si="1"/>
        <v>от переходной муфты МС20.1 (т. «К») до переходной муфты МС20.2 (т. «Л»)</v>
      </c>
      <c r="F43" s="53">
        <v>10</v>
      </c>
      <c r="G43" s="53">
        <v>10</v>
      </c>
      <c r="H43" s="53">
        <v>10</v>
      </c>
      <c r="I43" s="53">
        <v>10</v>
      </c>
      <c r="J43" s="53" t="s">
        <v>23</v>
      </c>
      <c r="K43" s="53">
        <v>1</v>
      </c>
      <c r="L43" s="53">
        <v>1</v>
      </c>
      <c r="M43" s="53" t="s">
        <v>182</v>
      </c>
      <c r="N43" s="53">
        <v>240</v>
      </c>
      <c r="O43" s="53" t="s">
        <v>143</v>
      </c>
      <c r="P43" s="53" t="s">
        <v>143</v>
      </c>
      <c r="Q43" s="54">
        <v>0.70899999999999996</v>
      </c>
      <c r="R43" s="54">
        <v>0.70899999999999996</v>
      </c>
      <c r="S43" s="53" t="s">
        <v>96</v>
      </c>
      <c r="T43" s="53" t="s">
        <v>96</v>
      </c>
      <c r="U43" s="53" t="s">
        <v>96</v>
      </c>
      <c r="V43" s="53" t="s">
        <v>144</v>
      </c>
      <c r="W43" s="53" t="s">
        <v>144</v>
      </c>
      <c r="X43" s="55" t="s">
        <v>96</v>
      </c>
      <c r="Y43" s="55" t="s">
        <v>96</v>
      </c>
      <c r="Z43" s="55" t="s">
        <v>96</v>
      </c>
      <c r="AA43" s="55" t="s">
        <v>96</v>
      </c>
      <c r="AB43" s="38" t="s">
        <v>145</v>
      </c>
    </row>
    <row r="44" spans="1:28" s="38" customFormat="1" ht="47.25" x14ac:dyDescent="0.25">
      <c r="A44" s="53">
        <v>20</v>
      </c>
      <c r="B44" s="43" t="s">
        <v>183</v>
      </c>
      <c r="C44" s="43" t="str">
        <f t="shared" si="0"/>
        <v>КЛ-10 кВ ПС О-53 -РП-ХХII (10-38)</v>
      </c>
      <c r="D44" s="43" t="s">
        <v>184</v>
      </c>
      <c r="E44" s="43" t="str">
        <f t="shared" si="1"/>
        <v>от переходной муфты МС21.1 (т. «К») до переходной муфты МС21.2 (т. «С»)</v>
      </c>
      <c r="F44" s="53">
        <v>10</v>
      </c>
      <c r="G44" s="53">
        <v>10</v>
      </c>
      <c r="H44" s="53">
        <v>10</v>
      </c>
      <c r="I44" s="53">
        <v>10</v>
      </c>
      <c r="J44" s="53" t="s">
        <v>23</v>
      </c>
      <c r="K44" s="53">
        <v>1</v>
      </c>
      <c r="L44" s="53">
        <v>1</v>
      </c>
      <c r="M44" s="53" t="s">
        <v>185</v>
      </c>
      <c r="N44" s="53">
        <v>240</v>
      </c>
      <c r="O44" s="53" t="s">
        <v>143</v>
      </c>
      <c r="P44" s="53" t="s">
        <v>143</v>
      </c>
      <c r="Q44" s="54">
        <v>0.73699999999999999</v>
      </c>
      <c r="R44" s="54">
        <v>0.73699999999999999</v>
      </c>
      <c r="S44" s="53" t="s">
        <v>96</v>
      </c>
      <c r="T44" s="53" t="s">
        <v>96</v>
      </c>
      <c r="U44" s="53" t="s">
        <v>96</v>
      </c>
      <c r="V44" s="53" t="s">
        <v>144</v>
      </c>
      <c r="W44" s="53" t="s">
        <v>144</v>
      </c>
      <c r="X44" s="55" t="s">
        <v>96</v>
      </c>
      <c r="Y44" s="55" t="s">
        <v>96</v>
      </c>
      <c r="Z44" s="55" t="s">
        <v>96</v>
      </c>
      <c r="AA44" s="55" t="s">
        <v>96</v>
      </c>
      <c r="AB44" s="38" t="s">
        <v>145</v>
      </c>
    </row>
    <row r="45" spans="1:28" s="38" customFormat="1" ht="47.25" x14ac:dyDescent="0.25">
      <c r="A45" s="53">
        <v>21</v>
      </c>
      <c r="B45" s="43" t="s">
        <v>186</v>
      </c>
      <c r="C45" s="43" t="str">
        <f t="shared" si="0"/>
        <v>КЛ-10 кВ ПС О-53 -РП-ХХII (10-08)</v>
      </c>
      <c r="D45" s="43" t="s">
        <v>187</v>
      </c>
      <c r="E45" s="43" t="str">
        <f t="shared" si="1"/>
        <v>от переходной муфты МС22.1 (т. «К») до переходной муфты МС22.2 (т. «С»)</v>
      </c>
      <c r="F45" s="53">
        <v>10</v>
      </c>
      <c r="G45" s="53">
        <v>10</v>
      </c>
      <c r="H45" s="53">
        <v>10</v>
      </c>
      <c r="I45" s="53">
        <v>10</v>
      </c>
      <c r="J45" s="53" t="s">
        <v>23</v>
      </c>
      <c r="K45" s="53">
        <v>1</v>
      </c>
      <c r="L45" s="53">
        <v>1</v>
      </c>
      <c r="M45" s="53">
        <v>185</v>
      </c>
      <c r="N45" s="53">
        <v>240</v>
      </c>
      <c r="O45" s="53" t="s">
        <v>143</v>
      </c>
      <c r="P45" s="53" t="s">
        <v>143</v>
      </c>
      <c r="Q45" s="54">
        <v>0.73299999999999998</v>
      </c>
      <c r="R45" s="54">
        <v>0.73299999999999998</v>
      </c>
      <c r="S45" s="53" t="s">
        <v>96</v>
      </c>
      <c r="T45" s="53" t="s">
        <v>96</v>
      </c>
      <c r="U45" s="53" t="s">
        <v>96</v>
      </c>
      <c r="V45" s="53" t="s">
        <v>144</v>
      </c>
      <c r="W45" s="53" t="s">
        <v>144</v>
      </c>
      <c r="X45" s="55" t="s">
        <v>96</v>
      </c>
      <c r="Y45" s="55" t="s">
        <v>96</v>
      </c>
      <c r="Z45" s="55" t="s">
        <v>96</v>
      </c>
      <c r="AA45" s="55" t="s">
        <v>96</v>
      </c>
      <c r="AB45" s="38" t="s">
        <v>145</v>
      </c>
    </row>
    <row r="46" spans="1:28" s="38" customFormat="1" ht="31.5" x14ac:dyDescent="0.25">
      <c r="A46" s="53">
        <v>22</v>
      </c>
      <c r="B46" s="43" t="s">
        <v>188</v>
      </c>
      <c r="C46" s="43" t="str">
        <f t="shared" si="0"/>
        <v>КЛ-10 кВ ПС О-53 - РП-XV (10-04)</v>
      </c>
      <c r="D46" s="43" t="s">
        <v>189</v>
      </c>
      <c r="E46" s="43" t="str">
        <f t="shared" si="1"/>
        <v>от ПС 0-53 до соед. муфты МС26 (т. «Ж»)</v>
      </c>
      <c r="F46" s="53">
        <v>10</v>
      </c>
      <c r="G46" s="53">
        <v>10</v>
      </c>
      <c r="H46" s="53">
        <v>10</v>
      </c>
      <c r="I46" s="53">
        <v>10</v>
      </c>
      <c r="J46" s="53" t="s">
        <v>23</v>
      </c>
      <c r="K46" s="53">
        <v>1</v>
      </c>
      <c r="L46" s="53">
        <v>1</v>
      </c>
      <c r="M46" s="53">
        <v>240</v>
      </c>
      <c r="N46" s="53">
        <v>240</v>
      </c>
      <c r="O46" s="53" t="s">
        <v>143</v>
      </c>
      <c r="P46" s="53" t="s">
        <v>143</v>
      </c>
      <c r="Q46" s="54">
        <v>0.27900000000000003</v>
      </c>
      <c r="R46" s="54">
        <v>0.27900000000000003</v>
      </c>
      <c r="S46" s="53" t="s">
        <v>96</v>
      </c>
      <c r="T46" s="53" t="s">
        <v>96</v>
      </c>
      <c r="U46" s="53" t="s">
        <v>96</v>
      </c>
      <c r="V46" s="53" t="s">
        <v>144</v>
      </c>
      <c r="W46" s="53" t="s">
        <v>144</v>
      </c>
      <c r="X46" s="55" t="s">
        <v>96</v>
      </c>
      <c r="Y46" s="55" t="s">
        <v>96</v>
      </c>
      <c r="Z46" s="55" t="s">
        <v>96</v>
      </c>
      <c r="AA46" s="55" t="s">
        <v>96</v>
      </c>
      <c r="AB46" s="38" t="s">
        <v>145</v>
      </c>
    </row>
    <row r="47" spans="1:28" s="38" customFormat="1" ht="31.5" x14ac:dyDescent="0.25">
      <c r="A47" s="53">
        <v>23</v>
      </c>
      <c r="B47" s="43" t="s">
        <v>190</v>
      </c>
      <c r="C47" s="43" t="str">
        <f t="shared" si="0"/>
        <v xml:space="preserve"> КЛ-6 кВ ПС О-53- ТП-588 (6-14)</v>
      </c>
      <c r="D47" s="43" t="s">
        <v>191</v>
      </c>
      <c r="E47" s="43" t="str">
        <f t="shared" si="1"/>
        <v>от ПС 0-53 до переходной муфты МС7 (т. «А»)</v>
      </c>
      <c r="F47" s="53">
        <v>6</v>
      </c>
      <c r="G47" s="53">
        <v>6</v>
      </c>
      <c r="H47" s="53">
        <v>6</v>
      </c>
      <c r="I47" s="53">
        <v>6</v>
      </c>
      <c r="J47" s="53" t="s">
        <v>23</v>
      </c>
      <c r="K47" s="53">
        <v>1</v>
      </c>
      <c r="L47" s="53">
        <v>1</v>
      </c>
      <c r="M47" s="53">
        <v>240</v>
      </c>
      <c r="N47" s="53">
        <v>240</v>
      </c>
      <c r="O47" s="53" t="s">
        <v>143</v>
      </c>
      <c r="P47" s="53" t="s">
        <v>143</v>
      </c>
      <c r="Q47" s="54">
        <v>0.23400000000000001</v>
      </c>
      <c r="R47" s="54">
        <v>0.23400000000000001</v>
      </c>
      <c r="S47" s="53" t="s">
        <v>96</v>
      </c>
      <c r="T47" s="53" t="s">
        <v>96</v>
      </c>
      <c r="U47" s="53" t="s">
        <v>96</v>
      </c>
      <c r="V47" s="53" t="s">
        <v>144</v>
      </c>
      <c r="W47" s="53" t="s">
        <v>144</v>
      </c>
      <c r="X47" s="55" t="s">
        <v>96</v>
      </c>
      <c r="Y47" s="55" t="s">
        <v>96</v>
      </c>
      <c r="Z47" s="55" t="s">
        <v>96</v>
      </c>
      <c r="AA47" s="55" t="s">
        <v>96</v>
      </c>
      <c r="AB47" s="38" t="s">
        <v>145</v>
      </c>
    </row>
    <row r="48" spans="1:28" s="38" customFormat="1" ht="31.5" x14ac:dyDescent="0.25">
      <c r="A48" s="53">
        <v>24</v>
      </c>
      <c r="B48" s="43" t="s">
        <v>192</v>
      </c>
      <c r="C48" s="43" t="str">
        <f t="shared" si="0"/>
        <v>КЛ-10 кВ РП-ХХ - ТП-374</v>
      </c>
      <c r="D48" s="43" t="s">
        <v>193</v>
      </c>
      <c r="E48" s="43" t="str">
        <f t="shared" si="1"/>
        <v>от РП-ХХ до переходной муфты МС3 (т. «У*»)</v>
      </c>
      <c r="F48" s="53">
        <v>10</v>
      </c>
      <c r="G48" s="53">
        <v>10</v>
      </c>
      <c r="H48" s="53">
        <v>10</v>
      </c>
      <c r="I48" s="53">
        <v>10</v>
      </c>
      <c r="J48" s="53" t="s">
        <v>23</v>
      </c>
      <c r="K48" s="53">
        <v>1</v>
      </c>
      <c r="L48" s="53">
        <v>1</v>
      </c>
      <c r="M48" s="53">
        <v>50</v>
      </c>
      <c r="N48" s="53">
        <v>70</v>
      </c>
      <c r="O48" s="53" t="s">
        <v>143</v>
      </c>
      <c r="P48" s="53" t="s">
        <v>143</v>
      </c>
      <c r="Q48" s="54">
        <v>0.32900000000000001</v>
      </c>
      <c r="R48" s="54">
        <v>0.32900000000000001</v>
      </c>
      <c r="S48" s="53" t="s">
        <v>96</v>
      </c>
      <c r="T48" s="53" t="s">
        <v>96</v>
      </c>
      <c r="U48" s="53" t="s">
        <v>96</v>
      </c>
      <c r="V48" s="53" t="s">
        <v>144</v>
      </c>
      <c r="W48" s="53" t="s">
        <v>144</v>
      </c>
      <c r="X48" s="55" t="s">
        <v>96</v>
      </c>
      <c r="Y48" s="55" t="s">
        <v>96</v>
      </c>
      <c r="Z48" s="55" t="s">
        <v>96</v>
      </c>
      <c r="AA48" s="55" t="s">
        <v>96</v>
      </c>
      <c r="AB48" s="38" t="s">
        <v>194</v>
      </c>
    </row>
    <row r="49" spans="1:28" s="38" customFormat="1" ht="47.25" x14ac:dyDescent="0.25">
      <c r="A49" s="53">
        <v>25</v>
      </c>
      <c r="B49" s="43" t="s">
        <v>195</v>
      </c>
      <c r="C49" s="43" t="str">
        <f t="shared" si="0"/>
        <v>КЛ-10 кВ ПС О-17 - РП-ХII (17-13)</v>
      </c>
      <c r="D49" s="43" t="s">
        <v>196</v>
      </c>
      <c r="E49" s="43" t="str">
        <f t="shared" si="1"/>
        <v>от переходной муфты МС5.1 (т. «Ф») до переходной муфты МС5.2 (т. «М»)</v>
      </c>
      <c r="F49" s="53">
        <v>10</v>
      </c>
      <c r="G49" s="53">
        <v>10</v>
      </c>
      <c r="H49" s="53">
        <v>10</v>
      </c>
      <c r="I49" s="53">
        <v>10</v>
      </c>
      <c r="J49" s="53" t="s">
        <v>23</v>
      </c>
      <c r="K49" s="53">
        <v>1</v>
      </c>
      <c r="L49" s="53">
        <v>1</v>
      </c>
      <c r="M49" s="53">
        <v>240</v>
      </c>
      <c r="N49" s="53">
        <v>240</v>
      </c>
      <c r="O49" s="53" t="s">
        <v>143</v>
      </c>
      <c r="P49" s="53" t="s">
        <v>143</v>
      </c>
      <c r="Q49" s="54">
        <v>0.39600000000000002</v>
      </c>
      <c r="R49" s="54">
        <v>0.39600000000000002</v>
      </c>
      <c r="S49" s="53" t="s">
        <v>96</v>
      </c>
      <c r="T49" s="53" t="s">
        <v>96</v>
      </c>
      <c r="U49" s="53" t="s">
        <v>96</v>
      </c>
      <c r="V49" s="53" t="s">
        <v>144</v>
      </c>
      <c r="W49" s="53" t="s">
        <v>144</v>
      </c>
      <c r="X49" s="55" t="s">
        <v>96</v>
      </c>
      <c r="Y49" s="55" t="s">
        <v>96</v>
      </c>
      <c r="Z49" s="55" t="s">
        <v>96</v>
      </c>
      <c r="AA49" s="55" t="s">
        <v>96</v>
      </c>
      <c r="AB49" s="38" t="s">
        <v>194</v>
      </c>
    </row>
    <row r="50" spans="1:28" s="38" customFormat="1" ht="31.5" x14ac:dyDescent="0.25">
      <c r="A50" s="53">
        <v>26</v>
      </c>
      <c r="B50" s="43" t="s">
        <v>197</v>
      </c>
      <c r="C50" s="43" t="str">
        <f t="shared" si="0"/>
        <v xml:space="preserve"> КЛ-10 кВ РП-ХХ - ТП-301</v>
      </c>
      <c r="D50" s="43" t="s">
        <v>198</v>
      </c>
      <c r="E50" s="43" t="str">
        <f t="shared" si="1"/>
        <v>от РП-ХХ до переходной муфты МС4 (т. «У*»)</v>
      </c>
      <c r="F50" s="53">
        <v>10</v>
      </c>
      <c r="G50" s="53">
        <v>10</v>
      </c>
      <c r="H50" s="53">
        <v>10</v>
      </c>
      <c r="I50" s="53">
        <v>10</v>
      </c>
      <c r="J50" s="53" t="s">
        <v>23</v>
      </c>
      <c r="K50" s="53">
        <v>1</v>
      </c>
      <c r="L50" s="53">
        <v>1</v>
      </c>
      <c r="M50" s="53">
        <v>95</v>
      </c>
      <c r="N50" s="53">
        <v>120</v>
      </c>
      <c r="O50" s="53" t="s">
        <v>143</v>
      </c>
      <c r="P50" s="53" t="s">
        <v>143</v>
      </c>
      <c r="Q50" s="54">
        <v>0.34899999999999998</v>
      </c>
      <c r="R50" s="54">
        <v>0.34899999999999998</v>
      </c>
      <c r="S50" s="53" t="s">
        <v>96</v>
      </c>
      <c r="T50" s="53" t="s">
        <v>96</v>
      </c>
      <c r="U50" s="53" t="s">
        <v>96</v>
      </c>
      <c r="V50" s="53" t="s">
        <v>144</v>
      </c>
      <c r="W50" s="53" t="s">
        <v>144</v>
      </c>
      <c r="X50" s="55" t="s">
        <v>96</v>
      </c>
      <c r="Y50" s="55" t="s">
        <v>96</v>
      </c>
      <c r="Z50" s="55" t="s">
        <v>96</v>
      </c>
      <c r="AA50" s="55" t="s">
        <v>96</v>
      </c>
      <c r="AB50" s="38" t="s">
        <v>194</v>
      </c>
    </row>
    <row r="51" spans="1:28" x14ac:dyDescent="0.25">
      <c r="Q51" s="37">
        <f>SUM(Q25:Q50)</f>
        <v>9.5080000000000027</v>
      </c>
      <c r="R51" s="37">
        <f>SUM(R25:R50)</f>
        <v>9.5080000000000027</v>
      </c>
      <c r="S51" s="37">
        <f>R51-Q51</f>
        <v>0</v>
      </c>
    </row>
    <row r="53" spans="1:28" x14ac:dyDescent="0.25">
      <c r="P53" s="37">
        <v>6</v>
      </c>
      <c r="R53" s="37">
        <f>SUMIF(I25:I50,P53,R25:R50)</f>
        <v>2.69</v>
      </c>
    </row>
    <row r="54" spans="1:28" x14ac:dyDescent="0.25">
      <c r="P54" s="37">
        <v>10</v>
      </c>
      <c r="R54" s="37">
        <f>SUMIF(I25:I50,P54,R25:R50)</f>
        <v>6.8179999999999987</v>
      </c>
    </row>
  </sheetData>
  <autoFilter ref="A24:AA51" xr:uid="{00000000-0009-0000-0000-000003000000}"/>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4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workbookViewId="0">
      <selection activeCell="C30" sqref="C30"/>
    </sheetView>
  </sheetViews>
  <sheetFormatPr defaultColWidth="9.140625" defaultRowHeight="15" x14ac:dyDescent="0.25"/>
  <cols>
    <col min="1" max="1" width="6.140625" style="1" customWidth="1"/>
    <col min="2" max="2" width="53.5703125" style="1" customWidth="1"/>
    <col min="3" max="3" width="184.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4" t="str">
        <f>'1. паспорт местоположение'!A5:C5</f>
        <v>Год раскрытия информации: 2025 год</v>
      </c>
      <c r="B5" s="314"/>
      <c r="C5" s="314"/>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2" customFormat="1" ht="18.75" x14ac:dyDescent="0.3">
      <c r="A6" s="6"/>
      <c r="G6" s="5"/>
    </row>
    <row r="7" spans="1:29" s="2" customFormat="1" ht="18.75" x14ac:dyDescent="0.2">
      <c r="A7" s="315" t="s">
        <v>4</v>
      </c>
      <c r="B7" s="315"/>
      <c r="C7" s="315"/>
      <c r="D7" s="10"/>
      <c r="E7" s="10"/>
      <c r="F7" s="10"/>
      <c r="G7" s="10"/>
      <c r="H7" s="10"/>
      <c r="I7" s="10"/>
      <c r="J7" s="10"/>
      <c r="K7" s="10"/>
      <c r="L7" s="10"/>
      <c r="M7" s="10"/>
      <c r="N7" s="10"/>
      <c r="O7" s="10"/>
      <c r="P7" s="10"/>
      <c r="Q7" s="10"/>
      <c r="R7" s="10"/>
      <c r="S7" s="10"/>
      <c r="T7" s="10"/>
      <c r="U7" s="10"/>
    </row>
    <row r="8" spans="1:29" s="2" customFormat="1" ht="18.75" x14ac:dyDescent="0.2">
      <c r="A8" s="315"/>
      <c r="B8" s="315"/>
      <c r="C8" s="315"/>
      <c r="D8" s="9"/>
      <c r="E8" s="9"/>
      <c r="F8" s="9"/>
      <c r="G8" s="9"/>
      <c r="H8" s="10"/>
      <c r="I8" s="10"/>
      <c r="J8" s="10"/>
      <c r="K8" s="10"/>
      <c r="L8" s="10"/>
      <c r="M8" s="10"/>
      <c r="N8" s="10"/>
      <c r="O8" s="10"/>
      <c r="P8" s="10"/>
      <c r="Q8" s="10"/>
      <c r="R8" s="10"/>
      <c r="S8" s="10"/>
      <c r="T8" s="10"/>
      <c r="U8" s="10"/>
    </row>
    <row r="9" spans="1:29" s="2" customFormat="1" ht="18.75" x14ac:dyDescent="0.2">
      <c r="A9" s="324" t="str">
        <f>'1. паспорт местоположение'!A9:C9</f>
        <v>Акционерное общество "Россети Янтарь" ДЗО  ПАО "Россети"</v>
      </c>
      <c r="B9" s="324"/>
      <c r="C9" s="324"/>
      <c r="D9" s="11"/>
      <c r="E9" s="11"/>
      <c r="F9" s="11"/>
      <c r="G9" s="11"/>
      <c r="H9" s="10"/>
      <c r="I9" s="10"/>
      <c r="J9" s="10"/>
      <c r="K9" s="10"/>
      <c r="L9" s="10"/>
      <c r="M9" s="10"/>
      <c r="N9" s="10"/>
      <c r="O9" s="10"/>
      <c r="P9" s="10"/>
      <c r="Q9" s="10"/>
      <c r="R9" s="10"/>
      <c r="S9" s="10"/>
      <c r="T9" s="10"/>
      <c r="U9" s="10"/>
    </row>
    <row r="10" spans="1:29" s="2" customFormat="1" ht="18.75" x14ac:dyDescent="0.2">
      <c r="A10" s="317" t="s">
        <v>6</v>
      </c>
      <c r="B10" s="317"/>
      <c r="C10" s="317"/>
      <c r="D10" s="13"/>
      <c r="E10" s="13"/>
      <c r="F10" s="13"/>
      <c r="G10" s="13"/>
      <c r="H10" s="10"/>
      <c r="I10" s="10"/>
      <c r="J10" s="10"/>
      <c r="K10" s="10"/>
      <c r="L10" s="10"/>
      <c r="M10" s="10"/>
      <c r="N10" s="10"/>
      <c r="O10" s="10"/>
      <c r="P10" s="10"/>
      <c r="Q10" s="10"/>
      <c r="R10" s="10"/>
      <c r="S10" s="10"/>
      <c r="T10" s="10"/>
      <c r="U10" s="10"/>
    </row>
    <row r="11" spans="1:29" s="2" customFormat="1" ht="18.75" x14ac:dyDescent="0.2">
      <c r="A11" s="315"/>
      <c r="B11" s="315"/>
      <c r="C11" s="315"/>
      <c r="D11" s="9"/>
      <c r="E11" s="9"/>
      <c r="F11" s="9"/>
      <c r="G11" s="9"/>
      <c r="H11" s="10"/>
      <c r="I11" s="10"/>
      <c r="J11" s="10"/>
      <c r="K11" s="10"/>
      <c r="L11" s="10"/>
      <c r="M11" s="10"/>
      <c r="N11" s="10"/>
      <c r="O11" s="10"/>
      <c r="P11" s="10"/>
      <c r="Q11" s="10"/>
      <c r="R11" s="10"/>
      <c r="S11" s="10"/>
      <c r="T11" s="10"/>
      <c r="U11" s="10"/>
    </row>
    <row r="12" spans="1:29" s="2" customFormat="1" ht="18.75" x14ac:dyDescent="0.2">
      <c r="A12" s="324" t="str">
        <f>'1. паспорт местоположение'!A12:C12</f>
        <v>O_22-1256</v>
      </c>
      <c r="B12" s="324"/>
      <c r="C12" s="324"/>
      <c r="D12" s="11"/>
      <c r="E12" s="11"/>
      <c r="F12" s="11"/>
      <c r="G12" s="11"/>
      <c r="H12" s="10"/>
      <c r="I12" s="10"/>
      <c r="J12" s="10"/>
      <c r="K12" s="10"/>
      <c r="L12" s="10"/>
      <c r="M12" s="10"/>
      <c r="N12" s="10"/>
      <c r="O12" s="10"/>
      <c r="P12" s="10"/>
      <c r="Q12" s="10"/>
      <c r="R12" s="10"/>
      <c r="S12" s="10"/>
      <c r="T12" s="10"/>
      <c r="U12" s="10"/>
    </row>
    <row r="13" spans="1:29" s="2" customFormat="1" ht="18.75" x14ac:dyDescent="0.2">
      <c r="A13" s="317" t="s">
        <v>8</v>
      </c>
      <c r="B13" s="317"/>
      <c r="C13" s="317"/>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5"/>
      <c r="B14" s="325"/>
      <c r="C14" s="325"/>
      <c r="D14" s="14"/>
      <c r="E14" s="14"/>
      <c r="F14" s="14"/>
      <c r="G14" s="14"/>
      <c r="H14" s="14"/>
      <c r="I14" s="14"/>
      <c r="J14" s="14"/>
      <c r="K14" s="14"/>
      <c r="L14" s="14"/>
      <c r="M14" s="14"/>
      <c r="N14" s="14"/>
      <c r="O14" s="14"/>
      <c r="P14" s="14"/>
      <c r="Q14" s="14"/>
      <c r="R14" s="14"/>
      <c r="S14" s="14"/>
      <c r="T14" s="14"/>
      <c r="U14" s="14"/>
    </row>
    <row r="15" spans="1:29" s="15" customFormat="1" ht="60" customHeight="1" x14ac:dyDescent="0.2">
      <c r="A15" s="347"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47"/>
      <c r="C15" s="347"/>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7" t="s">
        <v>10</v>
      </c>
      <c r="B16" s="317"/>
      <c r="C16" s="317"/>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5"/>
      <c r="B17" s="325"/>
      <c r="C17" s="325"/>
      <c r="D17" s="14"/>
      <c r="E17" s="14"/>
      <c r="F17" s="14"/>
      <c r="G17" s="14"/>
      <c r="H17" s="14"/>
      <c r="I17" s="14"/>
      <c r="J17" s="14"/>
      <c r="K17" s="14"/>
      <c r="L17" s="14"/>
      <c r="M17" s="14"/>
      <c r="N17" s="14"/>
      <c r="O17" s="14"/>
      <c r="P17" s="14"/>
      <c r="Q17" s="14"/>
      <c r="R17" s="14"/>
    </row>
    <row r="18" spans="1:21" s="15" customFormat="1" ht="27.75" customHeight="1" x14ac:dyDescent="0.2">
      <c r="A18" s="323" t="s">
        <v>199</v>
      </c>
      <c r="B18" s="323"/>
      <c r="C18" s="323"/>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7" t="s">
        <v>200</v>
      </c>
      <c r="C22" s="22" t="s">
        <v>201</v>
      </c>
      <c r="D22" s="13"/>
      <c r="E22" s="13"/>
      <c r="F22" s="14"/>
      <c r="G22" s="14"/>
      <c r="H22" s="14"/>
      <c r="I22" s="14"/>
      <c r="J22" s="14"/>
      <c r="K22" s="14"/>
      <c r="L22" s="14"/>
      <c r="M22" s="14"/>
      <c r="N22" s="14"/>
      <c r="O22" s="14"/>
      <c r="P22" s="14"/>
    </row>
    <row r="23" spans="1:21" ht="42.75" customHeight="1" x14ac:dyDescent="0.25">
      <c r="A23" s="20" t="s">
        <v>18</v>
      </c>
      <c r="B23" s="23" t="s">
        <v>202</v>
      </c>
      <c r="C23" s="22" t="s">
        <v>201</v>
      </c>
    </row>
    <row r="24" spans="1:21" ht="409.5" x14ac:dyDescent="0.25">
      <c r="A24" s="20" t="s">
        <v>21</v>
      </c>
      <c r="B24" s="23" t="s">
        <v>203</v>
      </c>
      <c r="C24" s="58" t="s">
        <v>204</v>
      </c>
    </row>
    <row r="25" spans="1:21" ht="63" customHeight="1" x14ac:dyDescent="0.25">
      <c r="A25" s="20" t="s">
        <v>24</v>
      </c>
      <c r="B25" s="23" t="s">
        <v>205</v>
      </c>
      <c r="C25" s="59" t="s">
        <v>206</v>
      </c>
    </row>
    <row r="26" spans="1:21" ht="42.75" customHeight="1" x14ac:dyDescent="0.25">
      <c r="A26" s="20" t="s">
        <v>27</v>
      </c>
      <c r="B26" s="23" t="s">
        <v>207</v>
      </c>
      <c r="C26" s="17" t="s">
        <v>208</v>
      </c>
    </row>
    <row r="27" spans="1:21" ht="65.25" customHeight="1" x14ac:dyDescent="0.25">
      <c r="A27" s="20" t="s">
        <v>30</v>
      </c>
      <c r="B27" s="23" t="s">
        <v>209</v>
      </c>
      <c r="C27" s="17" t="s">
        <v>210</v>
      </c>
    </row>
    <row r="28" spans="1:21" ht="42.75" customHeight="1" x14ac:dyDescent="0.25">
      <c r="A28" s="20" t="s">
        <v>33</v>
      </c>
      <c r="B28" s="23" t="s">
        <v>211</v>
      </c>
      <c r="C28" s="22">
        <v>2024</v>
      </c>
    </row>
    <row r="29" spans="1:21" ht="42.75" customHeight="1" x14ac:dyDescent="0.25">
      <c r="A29" s="20" t="s">
        <v>35</v>
      </c>
      <c r="B29" s="17" t="s">
        <v>212</v>
      </c>
      <c r="C29" s="22">
        <v>2025</v>
      </c>
    </row>
    <row r="30" spans="1:21" ht="42.75" customHeight="1" x14ac:dyDescent="0.25">
      <c r="A30" s="20" t="s">
        <v>37</v>
      </c>
      <c r="B30" s="17" t="s">
        <v>213</v>
      </c>
      <c r="C30" s="17" t="s">
        <v>214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4" t="str">
        <f>'1. паспорт местоположение'!A5:C5</f>
        <v>Год раскрытия информации: 2025 год</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315" t="s">
        <v>4</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10"/>
      <c r="AB6" s="10"/>
    </row>
    <row r="7" spans="1:28" ht="18.75" x14ac:dyDescent="0.25">
      <c r="A7" s="315"/>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0"/>
      <c r="AB7" s="10"/>
    </row>
    <row r="8" spans="1:28" x14ac:dyDescent="0.25">
      <c r="A8" s="324" t="str">
        <f>'1. паспорт местоположение'!A9</f>
        <v>Акционерное общество "Россети Янтарь" ДЗО  ПАО "Россети"</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11"/>
      <c r="AB8" s="11"/>
    </row>
    <row r="9" spans="1:28" ht="15.75"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3"/>
      <c r="AB9" s="13"/>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10"/>
      <c r="AB10" s="10"/>
    </row>
    <row r="11" spans="1:28" x14ac:dyDescent="0.25">
      <c r="A11" s="324" t="str">
        <f>'1. паспорт местоположение'!A12:C12</f>
        <v>O_22-1256</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11"/>
      <c r="AB11" s="11"/>
    </row>
    <row r="12" spans="1:28" ht="15.75" x14ac:dyDescent="0.25">
      <c r="A12" s="317" t="s">
        <v>8</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3"/>
      <c r="AB12" s="13"/>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60"/>
      <c r="AB13" s="60"/>
    </row>
    <row r="14" spans="1:28" x14ac:dyDescent="0.25">
      <c r="A14"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11"/>
      <c r="AB14" s="11"/>
    </row>
    <row r="15" spans="1:28" ht="15.75" x14ac:dyDescent="0.25">
      <c r="A15" s="317" t="s">
        <v>10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3"/>
      <c r="AB15" s="13"/>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61"/>
      <c r="AB16" s="61"/>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61"/>
      <c r="AB17" s="61"/>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61"/>
      <c r="AB18" s="61"/>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61"/>
      <c r="AB19" s="61"/>
    </row>
    <row r="20" spans="1:2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61"/>
      <c r="AB20" s="61"/>
    </row>
    <row r="21" spans="1:28" x14ac:dyDescent="0.2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61"/>
      <c r="AB21" s="61"/>
    </row>
    <row r="22" spans="1:28" x14ac:dyDescent="0.25">
      <c r="A22" s="349" t="s">
        <v>215</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62"/>
      <c r="AB22" s="62"/>
    </row>
    <row r="23" spans="1:28" ht="32.25" customHeight="1" x14ac:dyDescent="0.25">
      <c r="A23" s="350" t="s">
        <v>216</v>
      </c>
      <c r="B23" s="351"/>
      <c r="C23" s="351"/>
      <c r="D23" s="351"/>
      <c r="E23" s="351"/>
      <c r="F23" s="351"/>
      <c r="G23" s="351"/>
      <c r="H23" s="351"/>
      <c r="I23" s="351"/>
      <c r="J23" s="351"/>
      <c r="K23" s="351"/>
      <c r="L23" s="352"/>
      <c r="M23" s="353" t="s">
        <v>217</v>
      </c>
      <c r="N23" s="353"/>
      <c r="O23" s="353"/>
      <c r="P23" s="353"/>
      <c r="Q23" s="353"/>
      <c r="R23" s="353"/>
      <c r="S23" s="353"/>
      <c r="T23" s="353"/>
      <c r="U23" s="353"/>
      <c r="V23" s="353"/>
      <c r="W23" s="353"/>
      <c r="X23" s="353"/>
      <c r="Y23" s="353"/>
      <c r="Z23" s="353"/>
    </row>
    <row r="24" spans="1:28" ht="151.5" customHeight="1" x14ac:dyDescent="0.25">
      <c r="A24" s="63" t="s">
        <v>218</v>
      </c>
      <c r="B24" s="64" t="s">
        <v>219</v>
      </c>
      <c r="C24" s="63" t="s">
        <v>220</v>
      </c>
      <c r="D24" s="63" t="s">
        <v>221</v>
      </c>
      <c r="E24" s="63" t="s">
        <v>222</v>
      </c>
      <c r="F24" s="63" t="s">
        <v>223</v>
      </c>
      <c r="G24" s="63" t="s">
        <v>224</v>
      </c>
      <c r="H24" s="63" t="s">
        <v>225</v>
      </c>
      <c r="I24" s="63" t="s">
        <v>226</v>
      </c>
      <c r="J24" s="63" t="s">
        <v>227</v>
      </c>
      <c r="K24" s="64" t="s">
        <v>228</v>
      </c>
      <c r="L24" s="64" t="s">
        <v>229</v>
      </c>
      <c r="M24" s="65" t="s">
        <v>230</v>
      </c>
      <c r="N24" s="64" t="s">
        <v>231</v>
      </c>
      <c r="O24" s="63" t="s">
        <v>232</v>
      </c>
      <c r="P24" s="63" t="s">
        <v>233</v>
      </c>
      <c r="Q24" s="63" t="s">
        <v>234</v>
      </c>
      <c r="R24" s="63" t="s">
        <v>225</v>
      </c>
      <c r="S24" s="63" t="s">
        <v>235</v>
      </c>
      <c r="T24" s="63" t="s">
        <v>236</v>
      </c>
      <c r="U24" s="63" t="s">
        <v>237</v>
      </c>
      <c r="V24" s="63" t="s">
        <v>234</v>
      </c>
      <c r="W24" s="66" t="s">
        <v>238</v>
      </c>
      <c r="X24" s="66" t="s">
        <v>239</v>
      </c>
      <c r="Y24" s="66" t="s">
        <v>240</v>
      </c>
      <c r="Z24" s="67" t="s">
        <v>241</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ht="45.75" customHeight="1" x14ac:dyDescent="0.25">
      <c r="A26" s="68" t="s">
        <v>242</v>
      </c>
      <c r="B26" s="68"/>
      <c r="C26" s="69" t="s">
        <v>243</v>
      </c>
      <c r="D26" s="69" t="s">
        <v>244</v>
      </c>
      <c r="E26" s="69" t="s">
        <v>245</v>
      </c>
      <c r="F26" s="69" t="s">
        <v>246</v>
      </c>
      <c r="G26" s="69" t="s">
        <v>247</v>
      </c>
      <c r="H26" s="69" t="s">
        <v>225</v>
      </c>
      <c r="I26" s="69" t="s">
        <v>248</v>
      </c>
      <c r="J26" s="69" t="s">
        <v>249</v>
      </c>
      <c r="K26" s="70"/>
      <c r="L26" s="69" t="s">
        <v>250</v>
      </c>
      <c r="M26" s="71" t="s">
        <v>251</v>
      </c>
      <c r="N26" s="70"/>
      <c r="O26" s="70"/>
      <c r="P26" s="70"/>
      <c r="Q26" s="70"/>
      <c r="R26" s="70"/>
      <c r="S26" s="70"/>
      <c r="T26" s="70"/>
      <c r="U26" s="70"/>
      <c r="V26" s="70"/>
      <c r="W26" s="70"/>
      <c r="X26" s="70"/>
      <c r="Y26" s="70"/>
      <c r="Z26" s="72" t="s">
        <v>252</v>
      </c>
    </row>
    <row r="27" spans="1:28" x14ac:dyDescent="0.25">
      <c r="A27" s="70" t="s">
        <v>253</v>
      </c>
      <c r="B27" s="70" t="s">
        <v>254</v>
      </c>
      <c r="C27" s="70" t="s">
        <v>255</v>
      </c>
      <c r="D27" s="70" t="s">
        <v>256</v>
      </c>
      <c r="E27" s="70" t="s">
        <v>257</v>
      </c>
      <c r="F27" s="69" t="s">
        <v>258</v>
      </c>
      <c r="G27" s="69" t="s">
        <v>259</v>
      </c>
      <c r="H27" s="70" t="s">
        <v>225</v>
      </c>
      <c r="I27" s="69" t="s">
        <v>260</v>
      </c>
      <c r="J27" s="69" t="s">
        <v>261</v>
      </c>
      <c r="K27" s="69" t="s">
        <v>262</v>
      </c>
      <c r="L27" s="70"/>
      <c r="M27" s="69" t="s">
        <v>263</v>
      </c>
      <c r="N27" s="70"/>
      <c r="O27" s="70"/>
      <c r="P27" s="70"/>
      <c r="Q27" s="70"/>
      <c r="R27" s="70"/>
      <c r="S27" s="70"/>
      <c r="T27" s="70"/>
      <c r="U27" s="70"/>
      <c r="V27" s="70"/>
      <c r="W27" s="70"/>
      <c r="X27" s="70"/>
      <c r="Y27" s="70"/>
      <c r="Z27" s="70"/>
    </row>
    <row r="28" spans="1:28" x14ac:dyDescent="0.25">
      <c r="A28" s="70" t="s">
        <v>253</v>
      </c>
      <c r="B28" s="70" t="s">
        <v>264</v>
      </c>
      <c r="C28" s="70" t="s">
        <v>265</v>
      </c>
      <c r="D28" s="70" t="s">
        <v>266</v>
      </c>
      <c r="E28" s="70" t="s">
        <v>267</v>
      </c>
      <c r="F28" s="69" t="s">
        <v>268</v>
      </c>
      <c r="G28" s="69" t="s">
        <v>269</v>
      </c>
      <c r="H28" s="70" t="s">
        <v>225</v>
      </c>
      <c r="I28" s="69" t="s">
        <v>270</v>
      </c>
      <c r="J28" s="69" t="s">
        <v>271</v>
      </c>
      <c r="K28" s="69" t="s">
        <v>272</v>
      </c>
      <c r="L28" s="73"/>
      <c r="M28" s="69" t="s">
        <v>273</v>
      </c>
      <c r="N28" s="69"/>
      <c r="O28" s="69"/>
      <c r="P28" s="69"/>
      <c r="Q28" s="69"/>
      <c r="R28" s="69"/>
      <c r="S28" s="69"/>
      <c r="T28" s="69"/>
      <c r="U28" s="69"/>
      <c r="V28" s="69"/>
      <c r="W28" s="69"/>
      <c r="X28" s="69"/>
      <c r="Y28" s="69"/>
      <c r="Z28" s="69"/>
    </row>
    <row r="29" spans="1:28" x14ac:dyDescent="0.25">
      <c r="A29" s="70" t="s">
        <v>253</v>
      </c>
      <c r="B29" s="70" t="s">
        <v>274</v>
      </c>
      <c r="C29" s="70" t="s">
        <v>275</v>
      </c>
      <c r="D29" s="70" t="s">
        <v>276</v>
      </c>
      <c r="E29" s="70" t="s">
        <v>277</v>
      </c>
      <c r="F29" s="69" t="s">
        <v>278</v>
      </c>
      <c r="G29" s="69" t="s">
        <v>279</v>
      </c>
      <c r="H29" s="70" t="s">
        <v>225</v>
      </c>
      <c r="I29" s="69" t="s">
        <v>280</v>
      </c>
      <c r="J29" s="69" t="s">
        <v>281</v>
      </c>
      <c r="K29" s="69" t="s">
        <v>282</v>
      </c>
      <c r="L29" s="73"/>
      <c r="M29" s="70"/>
      <c r="N29" s="70"/>
      <c r="O29" s="70"/>
      <c r="P29" s="70"/>
      <c r="Q29" s="70"/>
      <c r="R29" s="70"/>
      <c r="S29" s="70"/>
      <c r="T29" s="70"/>
      <c r="U29" s="70"/>
      <c r="V29" s="70"/>
      <c r="W29" s="70"/>
      <c r="X29" s="70"/>
      <c r="Y29" s="70"/>
      <c r="Z29" s="70"/>
    </row>
    <row r="30" spans="1:28" x14ac:dyDescent="0.25">
      <c r="A30" s="70" t="s">
        <v>253</v>
      </c>
      <c r="B30" s="70" t="s">
        <v>283</v>
      </c>
      <c r="C30" s="70" t="s">
        <v>284</v>
      </c>
      <c r="D30" s="70" t="s">
        <v>285</v>
      </c>
      <c r="E30" s="70" t="s">
        <v>286</v>
      </c>
      <c r="F30" s="69" t="s">
        <v>287</v>
      </c>
      <c r="G30" s="69" t="s">
        <v>288</v>
      </c>
      <c r="H30" s="70" t="s">
        <v>225</v>
      </c>
      <c r="I30" s="69" t="s">
        <v>289</v>
      </c>
      <c r="J30" s="69" t="s">
        <v>290</v>
      </c>
      <c r="K30" s="69" t="s">
        <v>291</v>
      </c>
      <c r="L30" s="73"/>
      <c r="M30" s="70"/>
      <c r="N30" s="70"/>
      <c r="O30" s="70"/>
      <c r="P30" s="70"/>
      <c r="Q30" s="70"/>
      <c r="R30" s="70"/>
      <c r="S30" s="70"/>
      <c r="T30" s="70"/>
      <c r="U30" s="70"/>
      <c r="V30" s="70"/>
      <c r="W30" s="70"/>
      <c r="X30" s="70"/>
      <c r="Y30" s="70"/>
      <c r="Z30" s="70"/>
    </row>
    <row r="31" spans="1:28" x14ac:dyDescent="0.25">
      <c r="A31" s="70" t="s">
        <v>273</v>
      </c>
      <c r="B31" s="70" t="s">
        <v>273</v>
      </c>
      <c r="C31" s="70" t="s">
        <v>273</v>
      </c>
      <c r="D31" s="70" t="s">
        <v>273</v>
      </c>
      <c r="E31" s="70" t="s">
        <v>273</v>
      </c>
      <c r="F31" s="70" t="s">
        <v>273</v>
      </c>
      <c r="G31" s="70" t="s">
        <v>273</v>
      </c>
      <c r="H31" s="70" t="s">
        <v>273</v>
      </c>
      <c r="I31" s="70" t="s">
        <v>273</v>
      </c>
      <c r="J31" s="70" t="s">
        <v>273</v>
      </c>
      <c r="K31" s="70" t="s">
        <v>273</v>
      </c>
      <c r="L31" s="73"/>
      <c r="M31" s="70"/>
      <c r="N31" s="70"/>
      <c r="O31" s="70"/>
      <c r="P31" s="70"/>
      <c r="Q31" s="70"/>
      <c r="R31" s="70"/>
      <c r="S31" s="70"/>
      <c r="T31" s="70"/>
      <c r="U31" s="70"/>
      <c r="V31" s="70"/>
      <c r="W31" s="70"/>
      <c r="X31" s="70"/>
      <c r="Y31" s="70"/>
      <c r="Z31" s="70"/>
    </row>
    <row r="32" spans="1:28" ht="30" x14ac:dyDescent="0.25">
      <c r="A32" s="68" t="s">
        <v>292</v>
      </c>
      <c r="B32" s="68"/>
      <c r="C32" s="69" t="s">
        <v>293</v>
      </c>
      <c r="D32" s="69" t="s">
        <v>294</v>
      </c>
      <c r="E32" s="69" t="s">
        <v>295</v>
      </c>
      <c r="F32" s="69" t="s">
        <v>296</v>
      </c>
      <c r="G32" s="69" t="s">
        <v>297</v>
      </c>
      <c r="H32" s="69" t="s">
        <v>225</v>
      </c>
      <c r="I32" s="69" t="s">
        <v>298</v>
      </c>
      <c r="J32" s="69" t="s">
        <v>299</v>
      </c>
      <c r="K32" s="70"/>
      <c r="L32" s="70"/>
      <c r="M32" s="70"/>
      <c r="N32" s="70"/>
      <c r="O32" s="70"/>
      <c r="P32" s="70"/>
      <c r="Q32" s="70"/>
      <c r="R32" s="70"/>
      <c r="S32" s="70"/>
      <c r="T32" s="70"/>
      <c r="U32" s="70"/>
      <c r="V32" s="70"/>
      <c r="W32" s="70"/>
      <c r="X32" s="70"/>
      <c r="Y32" s="70"/>
      <c r="Z32" s="70"/>
    </row>
    <row r="33" spans="1:26" x14ac:dyDescent="0.25">
      <c r="A33" s="70" t="s">
        <v>273</v>
      </c>
      <c r="B33" s="70" t="s">
        <v>273</v>
      </c>
      <c r="C33" s="70" t="s">
        <v>273</v>
      </c>
      <c r="D33" s="70" t="s">
        <v>273</v>
      </c>
      <c r="E33" s="70" t="s">
        <v>273</v>
      </c>
      <c r="F33" s="70" t="s">
        <v>273</v>
      </c>
      <c r="G33" s="70" t="s">
        <v>273</v>
      </c>
      <c r="H33" s="70" t="s">
        <v>273</v>
      </c>
      <c r="I33" s="70" t="s">
        <v>273</v>
      </c>
      <c r="J33" s="70" t="s">
        <v>273</v>
      </c>
      <c r="K33" s="70" t="s">
        <v>273</v>
      </c>
      <c r="L33" s="70"/>
      <c r="M33" s="70"/>
      <c r="N33" s="70"/>
      <c r="O33" s="70"/>
      <c r="P33" s="70"/>
      <c r="Q33" s="70"/>
      <c r="R33" s="70"/>
      <c r="S33" s="70"/>
      <c r="T33" s="70"/>
      <c r="U33" s="70"/>
      <c r="V33" s="70"/>
      <c r="W33" s="70"/>
      <c r="X33" s="70"/>
      <c r="Y33" s="70"/>
      <c r="Z33" s="70"/>
    </row>
    <row r="37" spans="1:26" x14ac:dyDescent="0.25">
      <c r="A37" s="74"/>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14" t="str">
        <f>'1. паспорт местоположение'!A5:C5</f>
        <v>Год раскрытия информации: 2025 год</v>
      </c>
      <c r="B5" s="314"/>
      <c r="C5" s="314"/>
      <c r="D5" s="314"/>
      <c r="E5" s="314"/>
      <c r="F5" s="314"/>
      <c r="G5" s="314"/>
      <c r="H5" s="314"/>
      <c r="I5" s="314"/>
      <c r="J5" s="314"/>
      <c r="K5" s="314"/>
      <c r="L5" s="314"/>
      <c r="M5" s="314"/>
      <c r="N5" s="314"/>
      <c r="O5" s="314"/>
      <c r="P5" s="56"/>
      <c r="Q5" s="56"/>
      <c r="R5" s="56"/>
      <c r="S5" s="56"/>
      <c r="T5" s="56"/>
      <c r="U5" s="56"/>
      <c r="V5" s="56"/>
      <c r="W5" s="56"/>
      <c r="X5" s="56"/>
      <c r="Y5" s="56"/>
      <c r="Z5" s="56"/>
      <c r="AA5" s="56"/>
      <c r="AB5" s="56"/>
    </row>
    <row r="6" spans="1:28" s="2" customFormat="1" ht="15.75" x14ac:dyDescent="0.2">
      <c r="A6" s="6"/>
      <c r="B6" s="6"/>
    </row>
    <row r="7" spans="1:28" s="2" customFormat="1" ht="18.75" x14ac:dyDescent="0.2">
      <c r="A7" s="315" t="s">
        <v>4</v>
      </c>
      <c r="B7" s="315"/>
      <c r="C7" s="315"/>
      <c r="D7" s="315"/>
      <c r="E7" s="315"/>
      <c r="F7" s="315"/>
      <c r="G7" s="315"/>
      <c r="H7" s="315"/>
      <c r="I7" s="315"/>
      <c r="J7" s="315"/>
      <c r="K7" s="315"/>
      <c r="L7" s="315"/>
      <c r="M7" s="315"/>
      <c r="N7" s="315"/>
      <c r="O7" s="315"/>
      <c r="P7" s="10"/>
      <c r="Q7" s="10"/>
      <c r="R7" s="10"/>
      <c r="S7" s="10"/>
      <c r="T7" s="10"/>
      <c r="U7" s="10"/>
      <c r="V7" s="10"/>
      <c r="W7" s="10"/>
      <c r="X7" s="10"/>
      <c r="Y7" s="10"/>
      <c r="Z7" s="10"/>
    </row>
    <row r="8" spans="1:28" s="2" customFormat="1" ht="18.75" x14ac:dyDescent="0.2">
      <c r="A8" s="315"/>
      <c r="B8" s="315"/>
      <c r="C8" s="315"/>
      <c r="D8" s="315"/>
      <c r="E8" s="315"/>
      <c r="F8" s="315"/>
      <c r="G8" s="315"/>
      <c r="H8" s="315"/>
      <c r="I8" s="315"/>
      <c r="J8" s="315"/>
      <c r="K8" s="315"/>
      <c r="L8" s="315"/>
      <c r="M8" s="315"/>
      <c r="N8" s="315"/>
      <c r="O8" s="315"/>
      <c r="P8" s="10"/>
      <c r="Q8" s="10"/>
      <c r="R8" s="10"/>
      <c r="S8" s="10"/>
      <c r="T8" s="10"/>
      <c r="U8" s="10"/>
      <c r="V8" s="10"/>
      <c r="W8" s="10"/>
      <c r="X8" s="10"/>
      <c r="Y8" s="10"/>
      <c r="Z8" s="10"/>
    </row>
    <row r="9" spans="1:28" s="2" customFormat="1" ht="18.75" x14ac:dyDescent="0.2">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c r="M9" s="324"/>
      <c r="N9" s="324"/>
      <c r="O9" s="324"/>
      <c r="P9" s="10"/>
      <c r="Q9" s="10"/>
      <c r="R9" s="10"/>
      <c r="S9" s="10"/>
      <c r="T9" s="10"/>
      <c r="U9" s="10"/>
      <c r="V9" s="10"/>
      <c r="W9" s="10"/>
      <c r="X9" s="10"/>
      <c r="Y9" s="10"/>
      <c r="Z9" s="10"/>
    </row>
    <row r="10" spans="1:28" s="2" customFormat="1" ht="18.75" x14ac:dyDescent="0.2">
      <c r="A10" s="317" t="s">
        <v>6</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2" customFormat="1" ht="18.75" x14ac:dyDescent="0.2">
      <c r="A11" s="315"/>
      <c r="B11" s="315"/>
      <c r="C11" s="315"/>
      <c r="D11" s="315"/>
      <c r="E11" s="315"/>
      <c r="F11" s="315"/>
      <c r="G11" s="315"/>
      <c r="H11" s="315"/>
      <c r="I11" s="315"/>
      <c r="J11" s="315"/>
      <c r="K11" s="315"/>
      <c r="L11" s="315"/>
      <c r="M11" s="315"/>
      <c r="N11" s="315"/>
      <c r="O11" s="315"/>
      <c r="P11" s="10"/>
      <c r="Q11" s="10"/>
      <c r="R11" s="10"/>
      <c r="S11" s="10"/>
      <c r="T11" s="10"/>
      <c r="U11" s="10"/>
      <c r="V11" s="10"/>
      <c r="W11" s="10"/>
      <c r="X11" s="10"/>
      <c r="Y11" s="10"/>
      <c r="Z11" s="10"/>
    </row>
    <row r="12" spans="1:28" s="2" customFormat="1" ht="18.75" x14ac:dyDescent="0.2">
      <c r="A12" s="324" t="str">
        <f>'1. паспорт местоположение'!A12:C12</f>
        <v>O_22-1256</v>
      </c>
      <c r="B12" s="324"/>
      <c r="C12" s="324"/>
      <c r="D12" s="324"/>
      <c r="E12" s="324"/>
      <c r="F12" s="324"/>
      <c r="G12" s="324"/>
      <c r="H12" s="324"/>
      <c r="I12" s="324"/>
      <c r="J12" s="324"/>
      <c r="K12" s="324"/>
      <c r="L12" s="324"/>
      <c r="M12" s="324"/>
      <c r="N12" s="324"/>
      <c r="O12" s="324"/>
      <c r="P12" s="10"/>
      <c r="Q12" s="10"/>
      <c r="R12" s="10"/>
      <c r="S12" s="10"/>
      <c r="T12" s="10"/>
      <c r="U12" s="10"/>
      <c r="V12" s="10"/>
      <c r="W12" s="10"/>
      <c r="X12" s="10"/>
      <c r="Y12" s="10"/>
      <c r="Z12" s="10"/>
    </row>
    <row r="13" spans="1:28" s="2" customFormat="1" ht="18.75" x14ac:dyDescent="0.2">
      <c r="A13" s="317" t="s">
        <v>8</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2" customFormat="1" ht="15.75" customHeight="1" x14ac:dyDescent="0.2">
      <c r="A14" s="325"/>
      <c r="B14" s="325"/>
      <c r="C14" s="325"/>
      <c r="D14" s="325"/>
      <c r="E14" s="325"/>
      <c r="F14" s="325"/>
      <c r="G14" s="325"/>
      <c r="H14" s="325"/>
      <c r="I14" s="325"/>
      <c r="J14" s="325"/>
      <c r="K14" s="325"/>
      <c r="L14" s="325"/>
      <c r="M14" s="325"/>
      <c r="N14" s="325"/>
      <c r="O14" s="325"/>
      <c r="P14" s="14"/>
      <c r="Q14" s="14"/>
      <c r="R14" s="14"/>
      <c r="S14" s="14"/>
      <c r="T14" s="14"/>
      <c r="U14" s="14"/>
      <c r="V14" s="14"/>
      <c r="W14" s="14"/>
      <c r="X14" s="14"/>
      <c r="Y14" s="14"/>
      <c r="Z14" s="14"/>
    </row>
    <row r="15" spans="1:28" s="15" customFormat="1" ht="12" x14ac:dyDescent="0.2">
      <c r="A15" s="324"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24"/>
      <c r="C15" s="324"/>
      <c r="D15" s="324"/>
      <c r="E15" s="324"/>
      <c r="F15" s="324"/>
      <c r="G15" s="324"/>
      <c r="H15" s="324"/>
      <c r="I15" s="324"/>
      <c r="J15" s="324"/>
      <c r="K15" s="324"/>
      <c r="L15" s="324"/>
      <c r="M15" s="324"/>
      <c r="N15" s="324"/>
      <c r="O15" s="324"/>
      <c r="P15" s="11"/>
      <c r="Q15" s="11"/>
      <c r="R15" s="11"/>
      <c r="S15" s="11"/>
      <c r="T15" s="11"/>
      <c r="U15" s="11"/>
      <c r="V15" s="11"/>
      <c r="W15" s="11"/>
      <c r="X15" s="11"/>
      <c r="Y15" s="11"/>
      <c r="Z15" s="11"/>
    </row>
    <row r="16" spans="1:28" s="15" customFormat="1" ht="15" customHeight="1" x14ac:dyDescent="0.2">
      <c r="A16" s="317" t="s">
        <v>10</v>
      </c>
      <c r="B16" s="317"/>
      <c r="C16" s="317"/>
      <c r="D16" s="317"/>
      <c r="E16" s="317"/>
      <c r="F16" s="317"/>
      <c r="G16" s="317"/>
      <c r="H16" s="317"/>
      <c r="I16" s="317"/>
      <c r="J16" s="317"/>
      <c r="K16" s="317"/>
      <c r="L16" s="317"/>
      <c r="M16" s="317"/>
      <c r="N16" s="317"/>
      <c r="O16" s="317"/>
      <c r="P16" s="13"/>
      <c r="Q16" s="13"/>
      <c r="R16" s="13"/>
      <c r="S16" s="13"/>
      <c r="T16" s="13"/>
      <c r="U16" s="13"/>
      <c r="V16" s="13"/>
      <c r="W16" s="13"/>
      <c r="X16" s="13"/>
      <c r="Y16" s="13"/>
      <c r="Z16" s="13"/>
    </row>
    <row r="17" spans="1:26" s="15" customFormat="1" ht="15" customHeight="1" x14ac:dyDescent="0.2">
      <c r="A17" s="325"/>
      <c r="B17" s="325"/>
      <c r="C17" s="325"/>
      <c r="D17" s="325"/>
      <c r="E17" s="325"/>
      <c r="F17" s="325"/>
      <c r="G17" s="325"/>
      <c r="H17" s="325"/>
      <c r="I17" s="325"/>
      <c r="J17" s="325"/>
      <c r="K17" s="325"/>
      <c r="L17" s="325"/>
      <c r="M17" s="325"/>
      <c r="N17" s="325"/>
      <c r="O17" s="325"/>
      <c r="P17" s="14"/>
      <c r="Q17" s="14"/>
      <c r="R17" s="14"/>
      <c r="S17" s="14"/>
      <c r="T17" s="14"/>
      <c r="U17" s="14"/>
      <c r="V17" s="14"/>
      <c r="W17" s="14"/>
    </row>
    <row r="18" spans="1:26" s="15" customFormat="1" ht="91.5" customHeight="1" x14ac:dyDescent="0.2">
      <c r="A18" s="354" t="s">
        <v>300</v>
      </c>
      <c r="B18" s="354"/>
      <c r="C18" s="354"/>
      <c r="D18" s="354"/>
      <c r="E18" s="354"/>
      <c r="F18" s="354"/>
      <c r="G18" s="354"/>
      <c r="H18" s="354"/>
      <c r="I18" s="354"/>
      <c r="J18" s="354"/>
      <c r="K18" s="354"/>
      <c r="L18" s="354"/>
      <c r="M18" s="354"/>
      <c r="N18" s="354"/>
      <c r="O18" s="354"/>
      <c r="P18" s="16"/>
      <c r="Q18" s="16"/>
      <c r="R18" s="16"/>
      <c r="S18" s="16"/>
      <c r="T18" s="16"/>
      <c r="U18" s="16"/>
      <c r="V18" s="16"/>
      <c r="W18" s="16"/>
      <c r="X18" s="16"/>
      <c r="Y18" s="16"/>
      <c r="Z18" s="16"/>
    </row>
    <row r="19" spans="1:26" s="15" customFormat="1" ht="78" customHeight="1" x14ac:dyDescent="0.2">
      <c r="A19" s="328" t="s">
        <v>12</v>
      </c>
      <c r="B19" s="328" t="s">
        <v>301</v>
      </c>
      <c r="C19" s="328" t="s">
        <v>302</v>
      </c>
      <c r="D19" s="328" t="s">
        <v>303</v>
      </c>
      <c r="E19" s="355" t="s">
        <v>304</v>
      </c>
      <c r="F19" s="356"/>
      <c r="G19" s="356"/>
      <c r="H19" s="356"/>
      <c r="I19" s="357"/>
      <c r="J19" s="328" t="s">
        <v>305</v>
      </c>
      <c r="K19" s="328"/>
      <c r="L19" s="328"/>
      <c r="M19" s="328"/>
      <c r="N19" s="328"/>
      <c r="O19" s="328"/>
      <c r="P19" s="14"/>
      <c r="Q19" s="14"/>
      <c r="R19" s="14"/>
      <c r="S19" s="14"/>
      <c r="T19" s="14"/>
      <c r="U19" s="14"/>
      <c r="V19" s="14"/>
      <c r="W19" s="14"/>
    </row>
    <row r="20" spans="1:26" s="15" customFormat="1" ht="51" customHeight="1" x14ac:dyDescent="0.2">
      <c r="A20" s="328"/>
      <c r="B20" s="328"/>
      <c r="C20" s="328"/>
      <c r="D20" s="328"/>
      <c r="E20" s="25" t="s">
        <v>306</v>
      </c>
      <c r="F20" s="25" t="s">
        <v>307</v>
      </c>
      <c r="G20" s="25" t="s">
        <v>308</v>
      </c>
      <c r="H20" s="25" t="s">
        <v>309</v>
      </c>
      <c r="I20" s="25" t="s">
        <v>310</v>
      </c>
      <c r="J20" s="25">
        <v>2023</v>
      </c>
      <c r="K20" s="25">
        <v>2024</v>
      </c>
      <c r="L20" s="25">
        <v>2025</v>
      </c>
      <c r="M20" s="25">
        <v>2026</v>
      </c>
      <c r="N20" s="25">
        <v>2027</v>
      </c>
      <c r="O20" s="25">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25">
        <v>2025</v>
      </c>
      <c r="C22" s="57">
        <v>0</v>
      </c>
      <c r="D22" s="57">
        <v>0</v>
      </c>
      <c r="E22" s="57">
        <v>0</v>
      </c>
      <c r="F22" s="57">
        <v>0</v>
      </c>
      <c r="G22" s="57">
        <v>0</v>
      </c>
      <c r="H22" s="57">
        <v>0</v>
      </c>
      <c r="I22" s="57">
        <v>0</v>
      </c>
      <c r="J22" s="75">
        <v>0</v>
      </c>
      <c r="K22" s="57">
        <v>0</v>
      </c>
      <c r="L22" s="75">
        <v>0</v>
      </c>
      <c r="M22" s="57">
        <v>0</v>
      </c>
      <c r="N22" s="75">
        <v>0</v>
      </c>
      <c r="O22" s="57">
        <v>0</v>
      </c>
      <c r="P22" s="14"/>
      <c r="Q22" s="14"/>
      <c r="R22" s="14"/>
      <c r="S22" s="14"/>
      <c r="T22" s="14"/>
      <c r="U22" s="1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A208"/>
  <sheetViews>
    <sheetView topLeftCell="A64" zoomScale="80" workbookViewId="0">
      <selection activeCell="B81" sqref="B81"/>
    </sheetView>
  </sheetViews>
  <sheetFormatPr defaultColWidth="9.140625" defaultRowHeight="15.75" x14ac:dyDescent="0.2"/>
  <cols>
    <col min="1" max="1" width="61.7109375" style="77" customWidth="1"/>
    <col min="2" max="2" width="18.5703125" style="78" customWidth="1"/>
    <col min="3" max="12" width="16.85546875" style="78" customWidth="1"/>
    <col min="13" max="42" width="16.85546875" style="78" hidden="1" customWidth="1"/>
    <col min="43" max="45" width="16.85546875" style="79" hidden="1" customWidth="1"/>
    <col min="46" max="51" width="16.85546875" style="76" hidden="1" customWidth="1"/>
    <col min="52" max="102" width="0" style="76" hidden="1" customWidth="1"/>
    <col min="103"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311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58" t="str">
        <f>'1. паспорт местоположение'!A5:C5</f>
        <v>Год раскрытия информации: 2025 год</v>
      </c>
      <c r="B5" s="358"/>
      <c r="C5" s="358"/>
      <c r="D5" s="358"/>
      <c r="E5" s="358"/>
      <c r="F5" s="358"/>
      <c r="G5" s="358"/>
      <c r="H5" s="358"/>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5" t="s">
        <v>4</v>
      </c>
      <c r="B7" s="315"/>
      <c r="C7" s="315"/>
      <c r="D7" s="315"/>
      <c r="E7" s="315"/>
      <c r="F7" s="315"/>
      <c r="G7" s="315"/>
      <c r="H7" s="31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18" t="str">
        <f>'1. паспорт местоположение'!A9:C9</f>
        <v>Акционерное общество "Россети Янтарь" ДЗО  ПАО "Россети"</v>
      </c>
      <c r="B9" s="318"/>
      <c r="C9" s="318"/>
      <c r="D9" s="318"/>
      <c r="E9" s="318"/>
      <c r="F9" s="318"/>
      <c r="G9" s="318"/>
      <c r="H9" s="318"/>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17" t="s">
        <v>6</v>
      </c>
      <c r="B10" s="317"/>
      <c r="C10" s="317"/>
      <c r="D10" s="317"/>
      <c r="E10" s="317"/>
      <c r="F10" s="317"/>
      <c r="G10" s="317"/>
      <c r="H10" s="317"/>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18" t="str">
        <f>'1. паспорт местоположение'!A12:C12</f>
        <v>O_22-1256</v>
      </c>
      <c r="B12" s="318"/>
      <c r="C12" s="318"/>
      <c r="D12" s="318"/>
      <c r="E12" s="318"/>
      <c r="F12" s="318"/>
      <c r="G12" s="318"/>
      <c r="H12" s="318"/>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17" t="s">
        <v>8</v>
      </c>
      <c r="B13" s="317"/>
      <c r="C13" s="317"/>
      <c r="D13" s="317"/>
      <c r="E13" s="317"/>
      <c r="F13" s="317"/>
      <c r="G13" s="317"/>
      <c r="H13" s="317"/>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5"/>
      <c r="AR13" s="85"/>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0"/>
      <c r="AR14" s="80"/>
    </row>
    <row r="15" spans="1:44" ht="113.25" customHeight="1" x14ac:dyDescent="0.2">
      <c r="A15" s="323" t="str">
        <f>'1. паспорт местоположение'!A15:C15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23"/>
      <c r="C15" s="323"/>
      <c r="D15" s="323"/>
      <c r="E15" s="323"/>
      <c r="F15" s="323"/>
      <c r="G15" s="323"/>
      <c r="H15" s="323"/>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17" t="s">
        <v>10</v>
      </c>
      <c r="B16" s="317"/>
      <c r="C16" s="317"/>
      <c r="D16" s="317"/>
      <c r="E16" s="317"/>
      <c r="F16" s="317"/>
      <c r="G16" s="317"/>
      <c r="H16" s="317"/>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5"/>
      <c r="AR16" s="85"/>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6"/>
      <c r="AR17" s="86"/>
    </row>
    <row r="18" spans="1:44" ht="18.75" x14ac:dyDescent="0.2">
      <c r="A18" s="318" t="s">
        <v>312</v>
      </c>
      <c r="B18" s="318"/>
      <c r="C18" s="318"/>
      <c r="D18" s="318"/>
      <c r="E18" s="318"/>
      <c r="F18" s="318"/>
      <c r="G18" s="318"/>
      <c r="H18" s="318"/>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313</v>
      </c>
      <c r="B24" s="92" t="s">
        <v>314</v>
      </c>
      <c r="D24" s="93"/>
      <c r="E24" s="94"/>
      <c r="F24" s="94"/>
      <c r="G24" s="94"/>
      <c r="H24" s="94"/>
    </row>
    <row r="25" spans="1:44" x14ac:dyDescent="0.2">
      <c r="A25" s="95" t="s">
        <v>315</v>
      </c>
      <c r="B25" s="96">
        <f>'6.2. Паспорт фин осв ввод'!AC52*1000000</f>
        <v>175790957.72</v>
      </c>
    </row>
    <row r="26" spans="1:44" x14ac:dyDescent="0.2">
      <c r="A26" s="97" t="s">
        <v>316</v>
      </c>
      <c r="B26" s="98">
        <v>0</v>
      </c>
    </row>
    <row r="27" spans="1:44" x14ac:dyDescent="0.2">
      <c r="A27" s="97" t="s">
        <v>317</v>
      </c>
      <c r="B27" s="98">
        <f>$B$123</f>
        <v>30</v>
      </c>
      <c r="D27" s="90" t="s">
        <v>318</v>
      </c>
    </row>
    <row r="28" spans="1:44" ht="16.149999999999999" customHeight="1" x14ac:dyDescent="0.2">
      <c r="A28" s="99" t="s">
        <v>319</v>
      </c>
      <c r="B28" s="100">
        <v>1</v>
      </c>
      <c r="D28" s="359" t="s">
        <v>320</v>
      </c>
      <c r="E28" s="360"/>
      <c r="F28" s="361"/>
      <c r="G28" s="362" t="str">
        <f t="shared" ref="G28:G29" si="0">IF(SUM(B89:L89)=0,"не окупается",SUM(B89:L89))</f>
        <v>не окупается</v>
      </c>
      <c r="H28" s="363"/>
    </row>
    <row r="29" spans="1:44" ht="15.6" customHeight="1" x14ac:dyDescent="0.2">
      <c r="A29" s="95" t="s">
        <v>321</v>
      </c>
      <c r="B29" s="96">
        <f>$B$126*$B$127/1.2</f>
        <v>5093810.5270000007</v>
      </c>
      <c r="D29" s="359" t="s">
        <v>322</v>
      </c>
      <c r="E29" s="360"/>
      <c r="F29" s="361"/>
      <c r="G29" s="362" t="str">
        <f t="shared" si="0"/>
        <v>не окупается</v>
      </c>
      <c r="H29" s="363"/>
    </row>
    <row r="30" spans="1:44" ht="27.6" customHeight="1" x14ac:dyDescent="0.2">
      <c r="A30" s="97" t="s">
        <v>323</v>
      </c>
      <c r="B30" s="98">
        <v>30</v>
      </c>
      <c r="D30" s="359" t="s">
        <v>324</v>
      </c>
      <c r="E30" s="360"/>
      <c r="F30" s="361"/>
      <c r="G30" s="364">
        <f>L87</f>
        <v>-31671826.826477692</v>
      </c>
      <c r="H30" s="365"/>
    </row>
    <row r="31" spans="1:44" x14ac:dyDescent="0.2">
      <c r="A31" s="97" t="s">
        <v>325</v>
      </c>
      <c r="B31" s="98">
        <v>1</v>
      </c>
      <c r="D31" s="366"/>
      <c r="E31" s="367"/>
      <c r="F31" s="368"/>
      <c r="G31" s="366"/>
      <c r="H31" s="368"/>
    </row>
    <row r="32" spans="1:44" x14ac:dyDescent="0.2">
      <c r="A32" s="97" t="s">
        <v>326</v>
      </c>
      <c r="B32" s="98"/>
    </row>
    <row r="33" spans="1:102" x14ac:dyDescent="0.2">
      <c r="A33" s="97" t="s">
        <v>327</v>
      </c>
      <c r="B33" s="98"/>
    </row>
    <row r="34" spans="1:102" x14ac:dyDescent="0.2">
      <c r="A34" s="97" t="s">
        <v>328</v>
      </c>
      <c r="B34" s="98"/>
    </row>
    <row r="35" spans="1:102" x14ac:dyDescent="0.2">
      <c r="A35" s="101"/>
      <c r="B35" s="98"/>
    </row>
    <row r="36" spans="1:102" x14ac:dyDescent="0.2">
      <c r="A36" s="99" t="s">
        <v>329</v>
      </c>
      <c r="B36" s="102">
        <v>0.2</v>
      </c>
    </row>
    <row r="37" spans="1:102" x14ac:dyDescent="0.2">
      <c r="A37" s="95" t="s">
        <v>330</v>
      </c>
      <c r="B37" s="96">
        <v>0</v>
      </c>
    </row>
    <row r="38" spans="1:102" x14ac:dyDescent="0.2">
      <c r="A38" s="97" t="s">
        <v>331</v>
      </c>
      <c r="B38" s="98"/>
    </row>
    <row r="39" spans="1:102" x14ac:dyDescent="0.2">
      <c r="A39" s="103" t="s">
        <v>332</v>
      </c>
      <c r="B39" s="104"/>
    </row>
    <row r="40" spans="1:102" x14ac:dyDescent="0.2">
      <c r="A40" s="105" t="s">
        <v>333</v>
      </c>
      <c r="B40" s="106">
        <v>1</v>
      </c>
    </row>
    <row r="41" spans="1:102" x14ac:dyDescent="0.2">
      <c r="A41" s="107" t="s">
        <v>334</v>
      </c>
      <c r="B41" s="108"/>
    </row>
    <row r="42" spans="1:102" x14ac:dyDescent="0.2">
      <c r="A42" s="107" t="s">
        <v>335</v>
      </c>
      <c r="B42" s="109"/>
    </row>
    <row r="43" spans="1:102" x14ac:dyDescent="0.2">
      <c r="A43" s="107" t="s">
        <v>336</v>
      </c>
      <c r="B43" s="109">
        <v>0</v>
      </c>
    </row>
    <row r="44" spans="1:102" x14ac:dyDescent="0.2">
      <c r="A44" s="107" t="s">
        <v>337</v>
      </c>
      <c r="B44" s="109">
        <f>B129</f>
        <v>0.1371</v>
      </c>
    </row>
    <row r="45" spans="1:102" x14ac:dyDescent="0.2">
      <c r="A45" s="107" t="s">
        <v>338</v>
      </c>
      <c r="B45" s="109">
        <f>1-B43</f>
        <v>1</v>
      </c>
    </row>
    <row r="46" spans="1:102" x14ac:dyDescent="0.2">
      <c r="A46" s="110" t="s">
        <v>339</v>
      </c>
      <c r="B46" s="111">
        <f>B45*B44+B43*B42*(1-B36)</f>
        <v>0.1371</v>
      </c>
      <c r="C46" s="112"/>
    </row>
    <row r="47" spans="1:102" x14ac:dyDescent="0.2">
      <c r="A47" s="113" t="s">
        <v>340</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c r="AQ47" s="76"/>
      <c r="AR47" s="76"/>
      <c r="AS47" s="76"/>
    </row>
    <row r="48" spans="1:102" x14ac:dyDescent="0.2">
      <c r="A48" s="115" t="s">
        <v>341</v>
      </c>
      <c r="B48" s="116">
        <f>C136</f>
        <v>9.1135032622053413E-2</v>
      </c>
      <c r="C48" s="116">
        <f t="shared" ref="C48:BN48" si="2">D136</f>
        <v>7.8163170639641913E-2</v>
      </c>
      <c r="D48" s="116">
        <f t="shared" si="2"/>
        <v>5.2628968689616612E-2</v>
      </c>
      <c r="E48" s="116">
        <f t="shared" si="2"/>
        <v>4.4208979893394937E-2</v>
      </c>
      <c r="F48" s="116">
        <f t="shared" si="2"/>
        <v>4.4208979893394937E-2</v>
      </c>
      <c r="G48" s="116">
        <f t="shared" si="2"/>
        <v>4.4208979893394937E-2</v>
      </c>
      <c r="H48" s="116">
        <f t="shared" si="2"/>
        <v>4.4208979893394937E-2</v>
      </c>
      <c r="I48" s="116">
        <f t="shared" si="2"/>
        <v>4.4208979893394937E-2</v>
      </c>
      <c r="J48" s="116">
        <f t="shared" si="2"/>
        <v>4.4208979893394937E-2</v>
      </c>
      <c r="K48" s="116">
        <f t="shared" si="2"/>
        <v>4.4208979893394937E-2</v>
      </c>
      <c r="L48" s="116">
        <f t="shared" si="2"/>
        <v>4.4208979893394937E-2</v>
      </c>
      <c r="M48" s="116">
        <f t="shared" si="2"/>
        <v>4.4208979893394937E-2</v>
      </c>
      <c r="N48" s="116">
        <f t="shared" si="2"/>
        <v>4.4208979893394937E-2</v>
      </c>
      <c r="O48" s="116">
        <f t="shared" si="2"/>
        <v>4.4208979893394937E-2</v>
      </c>
      <c r="P48" s="116">
        <f t="shared" si="2"/>
        <v>4.4208979893394937E-2</v>
      </c>
      <c r="Q48" s="116">
        <f t="shared" si="2"/>
        <v>4.4208979893394937E-2</v>
      </c>
      <c r="R48" s="116">
        <f t="shared" si="2"/>
        <v>4.4208979893394937E-2</v>
      </c>
      <c r="S48" s="116">
        <f t="shared" si="2"/>
        <v>4.4208979893394937E-2</v>
      </c>
      <c r="T48" s="116">
        <f t="shared" si="2"/>
        <v>4.4208979893394937E-2</v>
      </c>
      <c r="U48" s="116">
        <f t="shared" si="2"/>
        <v>4.4208979893394937E-2</v>
      </c>
      <c r="V48" s="116">
        <f t="shared" si="2"/>
        <v>4.4208979893394937E-2</v>
      </c>
      <c r="W48" s="116">
        <f t="shared" si="2"/>
        <v>4.4208979893394937E-2</v>
      </c>
      <c r="X48" s="116">
        <f t="shared" si="2"/>
        <v>4.4208979893394937E-2</v>
      </c>
      <c r="Y48" s="116">
        <f t="shared" si="2"/>
        <v>4.4208979893394937E-2</v>
      </c>
      <c r="Z48" s="116">
        <f t="shared" si="2"/>
        <v>4.4208979893394937E-2</v>
      </c>
      <c r="AA48" s="116">
        <f t="shared" si="2"/>
        <v>4.4208979893394937E-2</v>
      </c>
      <c r="AB48" s="116">
        <f t="shared" si="2"/>
        <v>4.4208979893394937E-2</v>
      </c>
      <c r="AC48" s="116">
        <f t="shared" si="2"/>
        <v>4.4208979893394937E-2</v>
      </c>
      <c r="AD48" s="116">
        <f t="shared" si="2"/>
        <v>4.4208979893394937E-2</v>
      </c>
      <c r="AE48" s="116">
        <f t="shared" si="2"/>
        <v>4.4208979893394937E-2</v>
      </c>
      <c r="AF48" s="116">
        <f t="shared" si="2"/>
        <v>4.4208979893394937E-2</v>
      </c>
      <c r="AG48" s="116">
        <f t="shared" si="2"/>
        <v>4.4208979893394937E-2</v>
      </c>
      <c r="AH48" s="116">
        <f t="shared" si="2"/>
        <v>4.4208979893394937E-2</v>
      </c>
      <c r="AI48" s="116">
        <f t="shared" si="2"/>
        <v>4.4208979893394937E-2</v>
      </c>
      <c r="AJ48" s="116">
        <f t="shared" si="2"/>
        <v>4.4208979893394937E-2</v>
      </c>
      <c r="AK48" s="116">
        <f t="shared" si="2"/>
        <v>4.4208979893394937E-2</v>
      </c>
      <c r="AL48" s="116">
        <f t="shared" si="2"/>
        <v>4.4208979893394937E-2</v>
      </c>
      <c r="AM48" s="116">
        <f t="shared" si="2"/>
        <v>4.4208979893394937E-2</v>
      </c>
      <c r="AN48" s="116">
        <f t="shared" si="2"/>
        <v>4.4208979893394937E-2</v>
      </c>
      <c r="AO48" s="116">
        <f t="shared" si="2"/>
        <v>4.4208979893394937E-2</v>
      </c>
      <c r="AP48" s="116">
        <f t="shared" si="2"/>
        <v>4.4208979893394937E-2</v>
      </c>
      <c r="AQ48" s="116">
        <f t="shared" si="2"/>
        <v>4.4208979893394937E-2</v>
      </c>
      <c r="AR48" s="116">
        <f t="shared" si="2"/>
        <v>4.4208979893394937E-2</v>
      </c>
      <c r="AS48" s="116">
        <f t="shared" si="2"/>
        <v>4.4208979893394937E-2</v>
      </c>
      <c r="AT48" s="116">
        <f t="shared" si="2"/>
        <v>4.4208979893394937E-2</v>
      </c>
      <c r="AU48" s="116">
        <f t="shared" si="2"/>
        <v>4.4208979893394937E-2</v>
      </c>
      <c r="AV48" s="116">
        <f t="shared" si="2"/>
        <v>4.4208979893394937E-2</v>
      </c>
      <c r="AW48" s="116">
        <f t="shared" si="2"/>
        <v>4.4208979893394937E-2</v>
      </c>
      <c r="AX48" s="116">
        <f t="shared" si="2"/>
        <v>4.4208979893394937E-2</v>
      </c>
      <c r="AY48" s="116">
        <f t="shared" si="2"/>
        <v>0</v>
      </c>
      <c r="AZ48" s="116">
        <f t="shared" si="2"/>
        <v>0</v>
      </c>
      <c r="BA48" s="116">
        <f t="shared" si="2"/>
        <v>0</v>
      </c>
      <c r="BB48" s="116">
        <f t="shared" si="2"/>
        <v>0</v>
      </c>
      <c r="BC48" s="116">
        <f t="shared" si="2"/>
        <v>0</v>
      </c>
      <c r="BD48" s="116">
        <f t="shared" si="2"/>
        <v>0</v>
      </c>
      <c r="BE48" s="116">
        <f t="shared" si="2"/>
        <v>0</v>
      </c>
      <c r="BF48" s="116">
        <f t="shared" si="2"/>
        <v>0</v>
      </c>
      <c r="BG48" s="116">
        <f t="shared" si="2"/>
        <v>0</v>
      </c>
      <c r="BH48" s="116">
        <f t="shared" si="2"/>
        <v>0</v>
      </c>
      <c r="BI48" s="116">
        <f t="shared" si="2"/>
        <v>0</v>
      </c>
      <c r="BJ48" s="116">
        <f t="shared" si="2"/>
        <v>0</v>
      </c>
      <c r="BK48" s="116">
        <f t="shared" si="2"/>
        <v>0</v>
      </c>
      <c r="BL48" s="116">
        <f t="shared" si="2"/>
        <v>0</v>
      </c>
      <c r="BM48" s="116">
        <f t="shared" si="2"/>
        <v>0</v>
      </c>
      <c r="BN48" s="116">
        <f t="shared" si="2"/>
        <v>0</v>
      </c>
      <c r="BO48" s="116">
        <f t="shared" ref="BO48:CX48" si="3">BP136</f>
        <v>0</v>
      </c>
      <c r="BP48" s="116">
        <f t="shared" si="3"/>
        <v>0</v>
      </c>
      <c r="BQ48" s="116">
        <f t="shared" si="3"/>
        <v>0</v>
      </c>
      <c r="BR48" s="116">
        <f t="shared" si="3"/>
        <v>0</v>
      </c>
      <c r="BS48" s="116">
        <f t="shared" si="3"/>
        <v>0</v>
      </c>
      <c r="BT48" s="116">
        <f t="shared" si="3"/>
        <v>0</v>
      </c>
      <c r="BU48" s="116">
        <f t="shared" si="3"/>
        <v>0</v>
      </c>
      <c r="BV48" s="116">
        <f t="shared" si="3"/>
        <v>0</v>
      </c>
      <c r="BW48" s="116">
        <f t="shared" si="3"/>
        <v>0</v>
      </c>
      <c r="BX48" s="116">
        <f t="shared" si="3"/>
        <v>0</v>
      </c>
      <c r="BY48" s="116">
        <f t="shared" si="3"/>
        <v>0</v>
      </c>
      <c r="BZ48" s="116">
        <f t="shared" si="3"/>
        <v>0</v>
      </c>
      <c r="CA48" s="116">
        <f t="shared" si="3"/>
        <v>0</v>
      </c>
      <c r="CB48" s="116">
        <f t="shared" si="3"/>
        <v>0</v>
      </c>
      <c r="CC48" s="116">
        <f t="shared" si="3"/>
        <v>0</v>
      </c>
      <c r="CD48" s="116">
        <f t="shared" si="3"/>
        <v>0</v>
      </c>
      <c r="CE48" s="116">
        <f t="shared" si="3"/>
        <v>0</v>
      </c>
      <c r="CF48" s="116">
        <f t="shared" si="3"/>
        <v>0</v>
      </c>
      <c r="CG48" s="116">
        <f t="shared" si="3"/>
        <v>0</v>
      </c>
      <c r="CH48" s="116">
        <f t="shared" si="3"/>
        <v>0</v>
      </c>
      <c r="CI48" s="116">
        <f t="shared" si="3"/>
        <v>0</v>
      </c>
      <c r="CJ48" s="116">
        <f t="shared" si="3"/>
        <v>0</v>
      </c>
      <c r="CK48" s="116">
        <f t="shared" si="3"/>
        <v>0</v>
      </c>
      <c r="CL48" s="116">
        <f t="shared" si="3"/>
        <v>0</v>
      </c>
      <c r="CM48" s="116">
        <f t="shared" si="3"/>
        <v>0</v>
      </c>
      <c r="CN48" s="116">
        <f t="shared" si="3"/>
        <v>0</v>
      </c>
      <c r="CO48" s="116">
        <f t="shared" si="3"/>
        <v>0</v>
      </c>
      <c r="CP48" s="116">
        <f t="shared" si="3"/>
        <v>0</v>
      </c>
      <c r="CQ48" s="116">
        <f t="shared" si="3"/>
        <v>0</v>
      </c>
      <c r="CR48" s="116">
        <f t="shared" si="3"/>
        <v>0</v>
      </c>
      <c r="CS48" s="116">
        <f t="shared" si="3"/>
        <v>0</v>
      </c>
      <c r="CT48" s="116">
        <f t="shared" si="3"/>
        <v>0</v>
      </c>
      <c r="CU48" s="116">
        <f t="shared" si="3"/>
        <v>0</v>
      </c>
      <c r="CV48" s="116">
        <f t="shared" si="3"/>
        <v>0</v>
      </c>
      <c r="CW48" s="116">
        <f t="shared" si="3"/>
        <v>0</v>
      </c>
      <c r="CX48" s="116">
        <f t="shared" si="3"/>
        <v>0</v>
      </c>
    </row>
    <row r="49" spans="1:105" x14ac:dyDescent="0.2">
      <c r="A49" s="115" t="s">
        <v>342</v>
      </c>
      <c r="B49" s="116">
        <f>C137</f>
        <v>9.1135032622053413E-2</v>
      </c>
      <c r="C49" s="116">
        <f t="shared" ref="C49:BN49" si="4">D137</f>
        <v>0.17642160636778237</v>
      </c>
      <c r="D49" s="116">
        <f t="shared" si="4"/>
        <v>0.23833546225510083</v>
      </c>
      <c r="E49" s="116">
        <f t="shared" si="4"/>
        <v>0.29308100980721452</v>
      </c>
      <c r="F49" s="116">
        <f t="shared" si="4"/>
        <v>0.35024680217031245</v>
      </c>
      <c r="G49" s="116">
        <f t="shared" si="4"/>
        <v>0.40993983589858063</v>
      </c>
      <c r="H49" s="116">
        <f t="shared" si="4"/>
        <v>0.47227183775471748</v>
      </c>
      <c r="I49" s="116">
        <f t="shared" si="4"/>
        <v>0.53735947382762728</v>
      </c>
      <c r="J49" s="116">
        <f t="shared" si="4"/>
        <v>0.605324567894993</v>
      </c>
      <c r="K49" s="116">
        <f t="shared" si="4"/>
        <v>0.67629432943943568</v>
      </c>
      <c r="L49" s="116">
        <f t="shared" si="4"/>
        <v>0.75040159174503551</v>
      </c>
      <c r="M49" s="116">
        <f t="shared" si="4"/>
        <v>0.82778506051985823</v>
      </c>
      <c r="N49" s="116">
        <f t="shared" si="4"/>
        <v>0.90858957350982816</v>
      </c>
      <c r="O49" s="116">
        <f t="shared" si="4"/>
        <v>0.99296637158986734</v>
      </c>
      <c r="P49" s="116">
        <f t="shared" si="4"/>
        <v>1.0810733818396958</v>
      </c>
      <c r="Q49" s="116">
        <f t="shared" si="4"/>
        <v>1.1730755131341262</v>
      </c>
      <c r="R49" s="116">
        <f t="shared" si="4"/>
        <v>1.2691449648011015</v>
      </c>
      <c r="S49" s="116">
        <f t="shared" si="4"/>
        <v>1.3694615489251918</v>
      </c>
      <c r="T49" s="116">
        <f t="shared" si="4"/>
        <v>1.4742130268997977</v>
      </c>
      <c r="U49" s="116">
        <f t="shared" si="4"/>
        <v>1.5835954608579867</v>
      </c>
      <c r="V49" s="116">
        <f t="shared" si="4"/>
        <v>1.6978135806397239</v>
      </c>
      <c r="W49" s="116">
        <f t="shared" si="4"/>
        <v>1.8170811669823532</v>
      </c>
      <c r="X49" s="116">
        <f t="shared" si="4"/>
        <v>1.9416214516515375</v>
      </c>
      <c r="Y49" s="116">
        <f t="shared" si="4"/>
        <v>2.0716675352615797</v>
      </c>
      <c r="Z49" s="116">
        <f t="shared" si="4"/>
        <v>2.2074628235671527</v>
      </c>
      <c r="AA49" s="116">
        <f t="shared" si="4"/>
        <v>2.3492614830430445</v>
      </c>
      <c r="AB49" s="116">
        <f t="shared" si="4"/>
        <v>2.4973289166046162</v>
      </c>
      <c r="AC49" s="116">
        <f t="shared" si="4"/>
        <v>2.6519422603593781</v>
      </c>
      <c r="AD49" s="116">
        <f t="shared" si="4"/>
        <v>2.813390902319445</v>
      </c>
      <c r="AE49" s="116">
        <f t="shared" si="4"/>
        <v>2.9819770240457402</v>
      </c>
      <c r="AF49" s="116">
        <f t="shared" si="4"/>
        <v>3.1580161662377391</v>
      </c>
      <c r="AG49" s="116">
        <f t="shared" si="4"/>
        <v>3.3418378193273544</v>
      </c>
      <c r="AH49" s="116">
        <f t="shared" si="4"/>
        <v>3.5337860401823793</v>
      </c>
      <c r="AI49" s="116">
        <f t="shared" si="4"/>
        <v>3.7342200960737566</v>
      </c>
      <c r="AJ49" s="116">
        <f t="shared" si="4"/>
        <v>3.9435151371119872</v>
      </c>
      <c r="AK49" s="116">
        <f t="shared" si="4"/>
        <v>4.1620628984112642</v>
      </c>
      <c r="AL49" s="116">
        <f t="shared" si="4"/>
        <v>4.3902724332955678</v>
      </c>
      <c r="AM49" s="116">
        <f t="shared" si="4"/>
        <v>4.6285708789190521</v>
      </c>
      <c r="AN49" s="116">
        <f t="shared" si="4"/>
        <v>4.8774042557337323</v>
      </c>
      <c r="AO49" s="116">
        <f t="shared" si="4"/>
        <v>5.1372383023008181</v>
      </c>
      <c r="AP49" s="116">
        <f t="shared" si="4"/>
        <v>5.4085593470082083</v>
      </c>
      <c r="AQ49" s="116">
        <f t="shared" si="4"/>
        <v>5.6918752183257224</v>
      </c>
      <c r="AR49" s="116">
        <f t="shared" si="4"/>
        <v>5.9877161953017914</v>
      </c>
      <c r="AS49" s="116">
        <f t="shared" si="4"/>
        <v>6.2966360000806381</v>
      </c>
      <c r="AT49" s="116">
        <f t="shared" si="4"/>
        <v>6.619212834297624</v>
      </c>
      <c r="AU49" s="116">
        <f t="shared" si="4"/>
        <v>6.956050461292584</v>
      </c>
      <c r="AV49" s="116">
        <f t="shared" si="4"/>
        <v>7.3077793361667034</v>
      </c>
      <c r="AW49" s="116">
        <f t="shared" si="4"/>
        <v>7.6750577857980584</v>
      </c>
      <c r="AX49" s="116">
        <f t="shared" si="4"/>
        <v>8.0585732410244439</v>
      </c>
      <c r="AY49" s="116">
        <f t="shared" si="4"/>
        <v>0</v>
      </c>
      <c r="AZ49" s="116">
        <f t="shared" si="4"/>
        <v>0</v>
      </c>
      <c r="BA49" s="116">
        <f t="shared" si="4"/>
        <v>0</v>
      </c>
      <c r="BB49" s="116">
        <f t="shared" si="4"/>
        <v>0</v>
      </c>
      <c r="BC49" s="116">
        <f t="shared" si="4"/>
        <v>0</v>
      </c>
      <c r="BD49" s="116">
        <f t="shared" si="4"/>
        <v>0</v>
      </c>
      <c r="BE49" s="116">
        <f t="shared" si="4"/>
        <v>0</v>
      </c>
      <c r="BF49" s="116">
        <f t="shared" si="4"/>
        <v>0</v>
      </c>
      <c r="BG49" s="116">
        <f t="shared" si="4"/>
        <v>0</v>
      </c>
      <c r="BH49" s="116">
        <f t="shared" si="4"/>
        <v>0</v>
      </c>
      <c r="BI49" s="116">
        <f t="shared" si="4"/>
        <v>0</v>
      </c>
      <c r="BJ49" s="116">
        <f t="shared" si="4"/>
        <v>0</v>
      </c>
      <c r="BK49" s="116">
        <f t="shared" si="4"/>
        <v>0</v>
      </c>
      <c r="BL49" s="116">
        <f t="shared" si="4"/>
        <v>0</v>
      </c>
      <c r="BM49" s="116">
        <f t="shared" si="4"/>
        <v>0</v>
      </c>
      <c r="BN49" s="116">
        <f t="shared" si="4"/>
        <v>0</v>
      </c>
      <c r="BO49" s="116">
        <f t="shared" ref="BO49:CX49" si="5">BP137</f>
        <v>0</v>
      </c>
      <c r="BP49" s="116">
        <f t="shared" si="5"/>
        <v>0</v>
      </c>
      <c r="BQ49" s="116">
        <f t="shared" si="5"/>
        <v>0</v>
      </c>
      <c r="BR49" s="116">
        <f t="shared" si="5"/>
        <v>0</v>
      </c>
      <c r="BS49" s="116">
        <f t="shared" si="5"/>
        <v>0</v>
      </c>
      <c r="BT49" s="116">
        <f t="shared" si="5"/>
        <v>0</v>
      </c>
      <c r="BU49" s="116">
        <f t="shared" si="5"/>
        <v>0</v>
      </c>
      <c r="BV49" s="116">
        <f t="shared" si="5"/>
        <v>0</v>
      </c>
      <c r="BW49" s="116">
        <f t="shared" si="5"/>
        <v>0</v>
      </c>
      <c r="BX49" s="116">
        <f t="shared" si="5"/>
        <v>0</v>
      </c>
      <c r="BY49" s="116">
        <f t="shared" si="5"/>
        <v>0</v>
      </c>
      <c r="BZ49" s="116">
        <f t="shared" si="5"/>
        <v>0</v>
      </c>
      <c r="CA49" s="116">
        <f t="shared" si="5"/>
        <v>0</v>
      </c>
      <c r="CB49" s="116">
        <f t="shared" si="5"/>
        <v>0</v>
      </c>
      <c r="CC49" s="116">
        <f t="shared" si="5"/>
        <v>0</v>
      </c>
      <c r="CD49" s="116">
        <f t="shared" si="5"/>
        <v>0</v>
      </c>
      <c r="CE49" s="116">
        <f t="shared" si="5"/>
        <v>0</v>
      </c>
      <c r="CF49" s="116">
        <f t="shared" si="5"/>
        <v>0</v>
      </c>
      <c r="CG49" s="116">
        <f t="shared" si="5"/>
        <v>0</v>
      </c>
      <c r="CH49" s="116">
        <f t="shared" si="5"/>
        <v>0</v>
      </c>
      <c r="CI49" s="116">
        <f t="shared" si="5"/>
        <v>0</v>
      </c>
      <c r="CJ49" s="116">
        <f t="shared" si="5"/>
        <v>0</v>
      </c>
      <c r="CK49" s="116">
        <f t="shared" si="5"/>
        <v>0</v>
      </c>
      <c r="CL49" s="116">
        <f t="shared" si="5"/>
        <v>0</v>
      </c>
      <c r="CM49" s="116">
        <f t="shared" si="5"/>
        <v>0</v>
      </c>
      <c r="CN49" s="116">
        <f t="shared" si="5"/>
        <v>0</v>
      </c>
      <c r="CO49" s="116">
        <f t="shared" si="5"/>
        <v>0</v>
      </c>
      <c r="CP49" s="116">
        <f t="shared" si="5"/>
        <v>0</v>
      </c>
      <c r="CQ49" s="116">
        <f t="shared" si="5"/>
        <v>0</v>
      </c>
      <c r="CR49" s="116">
        <f t="shared" si="5"/>
        <v>0</v>
      </c>
      <c r="CS49" s="116">
        <f t="shared" si="5"/>
        <v>0</v>
      </c>
      <c r="CT49" s="116">
        <f t="shared" si="5"/>
        <v>0</v>
      </c>
      <c r="CU49" s="116">
        <f t="shared" si="5"/>
        <v>0</v>
      </c>
      <c r="CV49" s="116">
        <f t="shared" si="5"/>
        <v>0</v>
      </c>
      <c r="CW49" s="116">
        <f t="shared" si="5"/>
        <v>0</v>
      </c>
      <c r="CX49" s="116">
        <f t="shared" si="5"/>
        <v>0</v>
      </c>
    </row>
    <row r="50" spans="1:105" x14ac:dyDescent="0.2">
      <c r="A50" s="117" t="s">
        <v>343</v>
      </c>
      <c r="B50" s="118">
        <f>IF($B$124="да",($B$126/1.2-0.05),0)</f>
        <v>169793684.18333334</v>
      </c>
      <c r="C50" s="118">
        <f>C108*(1+C49)</f>
        <v>0</v>
      </c>
      <c r="D50" s="118">
        <f t="shared" ref="D50:AP50" si="6">D108*(1+D49)</f>
        <v>0</v>
      </c>
      <c r="E50" s="118">
        <f t="shared" si="6"/>
        <v>0</v>
      </c>
      <c r="F50" s="118">
        <f t="shared" si="6"/>
        <v>0</v>
      </c>
      <c r="G50" s="118">
        <f t="shared" si="6"/>
        <v>0</v>
      </c>
      <c r="H50" s="118">
        <f t="shared" si="6"/>
        <v>0</v>
      </c>
      <c r="I50" s="118">
        <f t="shared" si="6"/>
        <v>0</v>
      </c>
      <c r="J50" s="118">
        <f t="shared" si="6"/>
        <v>0</v>
      </c>
      <c r="K50" s="118">
        <f t="shared" si="6"/>
        <v>0</v>
      </c>
      <c r="L50" s="118">
        <f t="shared" si="6"/>
        <v>0</v>
      </c>
      <c r="M50" s="118">
        <f t="shared" si="6"/>
        <v>0</v>
      </c>
      <c r="N50" s="118">
        <f t="shared" si="6"/>
        <v>0</v>
      </c>
      <c r="O50" s="118">
        <f t="shared" si="6"/>
        <v>0</v>
      </c>
      <c r="P50" s="118">
        <f t="shared" si="6"/>
        <v>0</v>
      </c>
      <c r="Q50" s="118">
        <f t="shared" si="6"/>
        <v>0</v>
      </c>
      <c r="R50" s="118">
        <f t="shared" si="6"/>
        <v>0</v>
      </c>
      <c r="S50" s="118">
        <f t="shared" si="6"/>
        <v>0</v>
      </c>
      <c r="T50" s="118">
        <f t="shared" si="6"/>
        <v>0</v>
      </c>
      <c r="U50" s="118">
        <f t="shared" si="6"/>
        <v>0</v>
      </c>
      <c r="V50" s="118">
        <f t="shared" si="6"/>
        <v>0</v>
      </c>
      <c r="W50" s="118">
        <f t="shared" si="6"/>
        <v>0</v>
      </c>
      <c r="X50" s="118">
        <f t="shared" si="6"/>
        <v>0</v>
      </c>
      <c r="Y50" s="118">
        <f t="shared" si="6"/>
        <v>0</v>
      </c>
      <c r="Z50" s="118">
        <f t="shared" si="6"/>
        <v>0</v>
      </c>
      <c r="AA50" s="118">
        <f t="shared" si="6"/>
        <v>0</v>
      </c>
      <c r="AB50" s="118">
        <f t="shared" si="6"/>
        <v>0</v>
      </c>
      <c r="AC50" s="118">
        <f t="shared" si="6"/>
        <v>0</v>
      </c>
      <c r="AD50" s="118">
        <f t="shared" si="6"/>
        <v>0</v>
      </c>
      <c r="AE50" s="118">
        <f t="shared" si="6"/>
        <v>0</v>
      </c>
      <c r="AF50" s="118">
        <f t="shared" si="6"/>
        <v>0</v>
      </c>
      <c r="AG50" s="118">
        <f t="shared" si="6"/>
        <v>0</v>
      </c>
      <c r="AH50" s="118">
        <f t="shared" si="6"/>
        <v>0</v>
      </c>
      <c r="AI50" s="118">
        <f t="shared" si="6"/>
        <v>0</v>
      </c>
      <c r="AJ50" s="118">
        <f t="shared" si="6"/>
        <v>0</v>
      </c>
      <c r="AK50" s="118">
        <f t="shared" si="6"/>
        <v>0</v>
      </c>
      <c r="AL50" s="118">
        <f t="shared" si="6"/>
        <v>0</v>
      </c>
      <c r="AM50" s="118">
        <f t="shared" si="6"/>
        <v>0</v>
      </c>
      <c r="AN50" s="118">
        <f t="shared" si="6"/>
        <v>0</v>
      </c>
      <c r="AO50" s="118">
        <f t="shared" si="6"/>
        <v>0</v>
      </c>
      <c r="AP50" s="118">
        <f t="shared" si="6"/>
        <v>0</v>
      </c>
      <c r="AQ50" s="76"/>
      <c r="AR50" s="76"/>
      <c r="AS50" s="76"/>
    </row>
    <row r="52" spans="1:105" x14ac:dyDescent="0.2">
      <c r="A52" s="119" t="s">
        <v>344</v>
      </c>
      <c r="B52" s="120">
        <f>B58</f>
        <v>1</v>
      </c>
      <c r="C52" s="120">
        <f t="shared" ref="C52:AO52" si="7">C58</f>
        <v>2</v>
      </c>
      <c r="D52" s="120">
        <f t="shared" si="7"/>
        <v>3</v>
      </c>
      <c r="E52" s="120">
        <f t="shared" si="7"/>
        <v>4</v>
      </c>
      <c r="F52" s="120">
        <f t="shared" si="7"/>
        <v>5</v>
      </c>
      <c r="G52" s="120">
        <f t="shared" si="7"/>
        <v>6</v>
      </c>
      <c r="H52" s="120">
        <f t="shared" si="7"/>
        <v>7</v>
      </c>
      <c r="I52" s="120">
        <f t="shared" si="7"/>
        <v>8</v>
      </c>
      <c r="J52" s="120">
        <f t="shared" si="7"/>
        <v>9</v>
      </c>
      <c r="K52" s="120">
        <f t="shared" si="7"/>
        <v>10</v>
      </c>
      <c r="L52" s="120">
        <f t="shared" si="7"/>
        <v>11</v>
      </c>
      <c r="M52" s="120">
        <f t="shared" si="7"/>
        <v>12</v>
      </c>
      <c r="N52" s="120">
        <f t="shared" si="7"/>
        <v>13</v>
      </c>
      <c r="O52" s="120">
        <f t="shared" si="7"/>
        <v>14</v>
      </c>
      <c r="P52" s="120">
        <f t="shared" si="7"/>
        <v>15</v>
      </c>
      <c r="Q52" s="120">
        <f t="shared" si="7"/>
        <v>16</v>
      </c>
      <c r="R52" s="120">
        <f t="shared" si="7"/>
        <v>17</v>
      </c>
      <c r="S52" s="120">
        <f t="shared" si="7"/>
        <v>18</v>
      </c>
      <c r="T52" s="120">
        <f t="shared" si="7"/>
        <v>19</v>
      </c>
      <c r="U52" s="120">
        <f t="shared" si="7"/>
        <v>20</v>
      </c>
      <c r="V52" s="120">
        <f t="shared" si="7"/>
        <v>21</v>
      </c>
      <c r="W52" s="120">
        <f t="shared" si="7"/>
        <v>22</v>
      </c>
      <c r="X52" s="120">
        <f t="shared" si="7"/>
        <v>23</v>
      </c>
      <c r="Y52" s="120">
        <f t="shared" si="7"/>
        <v>24</v>
      </c>
      <c r="Z52" s="120">
        <f t="shared" si="7"/>
        <v>25</v>
      </c>
      <c r="AA52" s="120">
        <f t="shared" si="7"/>
        <v>26</v>
      </c>
      <c r="AB52" s="120">
        <f t="shared" si="7"/>
        <v>27</v>
      </c>
      <c r="AC52" s="120">
        <f t="shared" si="7"/>
        <v>28</v>
      </c>
      <c r="AD52" s="120">
        <f t="shared" si="7"/>
        <v>29</v>
      </c>
      <c r="AE52" s="120">
        <f t="shared" si="7"/>
        <v>30</v>
      </c>
      <c r="AF52" s="120">
        <f t="shared" si="7"/>
        <v>31</v>
      </c>
      <c r="AG52" s="120">
        <f t="shared" si="7"/>
        <v>32</v>
      </c>
      <c r="AH52" s="120">
        <f t="shared" si="7"/>
        <v>33</v>
      </c>
      <c r="AI52" s="120">
        <f t="shared" si="7"/>
        <v>34</v>
      </c>
      <c r="AJ52" s="120">
        <f t="shared" si="7"/>
        <v>35</v>
      </c>
      <c r="AK52" s="120">
        <f t="shared" si="7"/>
        <v>36</v>
      </c>
      <c r="AL52" s="120">
        <f t="shared" si="7"/>
        <v>37</v>
      </c>
      <c r="AM52" s="120">
        <f t="shared" si="7"/>
        <v>38</v>
      </c>
      <c r="AN52" s="120">
        <f t="shared" si="7"/>
        <v>39</v>
      </c>
      <c r="AO52" s="120">
        <f t="shared" si="7"/>
        <v>40</v>
      </c>
      <c r="AP52" s="120">
        <f>AP58</f>
        <v>41</v>
      </c>
    </row>
    <row r="53" spans="1:105" x14ac:dyDescent="0.2">
      <c r="A53" s="121" t="s">
        <v>345</v>
      </c>
      <c r="B53" s="122">
        <v>0</v>
      </c>
      <c r="C53" s="122">
        <f t="shared" ref="C53:AP53" si="8">B53+B54-B55</f>
        <v>0</v>
      </c>
      <c r="D53" s="122">
        <f t="shared" si="8"/>
        <v>0</v>
      </c>
      <c r="E53" s="122">
        <f t="shared" si="8"/>
        <v>0</v>
      </c>
      <c r="F53" s="122">
        <f t="shared" si="8"/>
        <v>0</v>
      </c>
      <c r="G53" s="122">
        <f t="shared" si="8"/>
        <v>0</v>
      </c>
      <c r="H53" s="122">
        <f t="shared" si="8"/>
        <v>0</v>
      </c>
      <c r="I53" s="122">
        <f t="shared" si="8"/>
        <v>0</v>
      </c>
      <c r="J53" s="122">
        <f t="shared" si="8"/>
        <v>0</v>
      </c>
      <c r="K53" s="122">
        <f t="shared" si="8"/>
        <v>0</v>
      </c>
      <c r="L53" s="122">
        <f t="shared" si="8"/>
        <v>0</v>
      </c>
      <c r="M53" s="122">
        <f t="shared" si="8"/>
        <v>0</v>
      </c>
      <c r="N53" s="122">
        <f t="shared" si="8"/>
        <v>0</v>
      </c>
      <c r="O53" s="122">
        <f t="shared" si="8"/>
        <v>0</v>
      </c>
      <c r="P53" s="122">
        <f t="shared" si="8"/>
        <v>0</v>
      </c>
      <c r="Q53" s="122">
        <f t="shared" si="8"/>
        <v>0</v>
      </c>
      <c r="R53" s="122">
        <f t="shared" si="8"/>
        <v>0</v>
      </c>
      <c r="S53" s="122">
        <f t="shared" si="8"/>
        <v>0</v>
      </c>
      <c r="T53" s="122">
        <f t="shared" si="8"/>
        <v>0</v>
      </c>
      <c r="U53" s="122">
        <f t="shared" si="8"/>
        <v>0</v>
      </c>
      <c r="V53" s="122">
        <f t="shared" si="8"/>
        <v>0</v>
      </c>
      <c r="W53" s="122">
        <f t="shared" si="8"/>
        <v>0</v>
      </c>
      <c r="X53" s="122">
        <f t="shared" si="8"/>
        <v>0</v>
      </c>
      <c r="Y53" s="122">
        <f t="shared" si="8"/>
        <v>0</v>
      </c>
      <c r="Z53" s="122">
        <f t="shared" si="8"/>
        <v>0</v>
      </c>
      <c r="AA53" s="122">
        <f t="shared" si="8"/>
        <v>0</v>
      </c>
      <c r="AB53" s="122">
        <f t="shared" si="8"/>
        <v>0</v>
      </c>
      <c r="AC53" s="122">
        <f t="shared" si="8"/>
        <v>0</v>
      </c>
      <c r="AD53" s="122">
        <f t="shared" si="8"/>
        <v>0</v>
      </c>
      <c r="AE53" s="122">
        <f t="shared" si="8"/>
        <v>0</v>
      </c>
      <c r="AF53" s="122">
        <f t="shared" si="8"/>
        <v>0</v>
      </c>
      <c r="AG53" s="122">
        <f t="shared" si="8"/>
        <v>0</v>
      </c>
      <c r="AH53" s="122">
        <f t="shared" si="8"/>
        <v>0</v>
      </c>
      <c r="AI53" s="122">
        <f t="shared" si="8"/>
        <v>0</v>
      </c>
      <c r="AJ53" s="122">
        <f t="shared" si="8"/>
        <v>0</v>
      </c>
      <c r="AK53" s="122">
        <f t="shared" si="8"/>
        <v>0</v>
      </c>
      <c r="AL53" s="122">
        <f t="shared" si="8"/>
        <v>0</v>
      </c>
      <c r="AM53" s="122">
        <f t="shared" si="8"/>
        <v>0</v>
      </c>
      <c r="AN53" s="122">
        <f t="shared" si="8"/>
        <v>0</v>
      </c>
      <c r="AO53" s="122">
        <f t="shared" si="8"/>
        <v>0</v>
      </c>
      <c r="AP53" s="122">
        <f t="shared" si="8"/>
        <v>0</v>
      </c>
    </row>
    <row r="54" spans="1:105" x14ac:dyDescent="0.2">
      <c r="A54" s="121" t="s">
        <v>346</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105" x14ac:dyDescent="0.2">
      <c r="A55" s="121" t="s">
        <v>347</v>
      </c>
      <c r="B55" s="122">
        <f>$B$54/$B$40</f>
        <v>0</v>
      </c>
      <c r="C55" s="122">
        <f t="shared" ref="C55:AP55" si="9">IF(ROUND(C53,1)=0,0,B55+C54/$B$40)</f>
        <v>0</v>
      </c>
      <c r="D55" s="122">
        <f t="shared" si="9"/>
        <v>0</v>
      </c>
      <c r="E55" s="122">
        <f t="shared" si="9"/>
        <v>0</v>
      </c>
      <c r="F55" s="122">
        <f t="shared" si="9"/>
        <v>0</v>
      </c>
      <c r="G55" s="122">
        <f t="shared" si="9"/>
        <v>0</v>
      </c>
      <c r="H55" s="122">
        <f t="shared" si="9"/>
        <v>0</v>
      </c>
      <c r="I55" s="122">
        <f t="shared" si="9"/>
        <v>0</v>
      </c>
      <c r="J55" s="122">
        <f t="shared" si="9"/>
        <v>0</v>
      </c>
      <c r="K55" s="122">
        <f t="shared" si="9"/>
        <v>0</v>
      </c>
      <c r="L55" s="122">
        <f t="shared" si="9"/>
        <v>0</v>
      </c>
      <c r="M55" s="122">
        <f t="shared" si="9"/>
        <v>0</v>
      </c>
      <c r="N55" s="122">
        <f t="shared" si="9"/>
        <v>0</v>
      </c>
      <c r="O55" s="122">
        <f t="shared" si="9"/>
        <v>0</v>
      </c>
      <c r="P55" s="122">
        <f t="shared" si="9"/>
        <v>0</v>
      </c>
      <c r="Q55" s="122">
        <f t="shared" si="9"/>
        <v>0</v>
      </c>
      <c r="R55" s="122">
        <f t="shared" si="9"/>
        <v>0</v>
      </c>
      <c r="S55" s="122">
        <f t="shared" si="9"/>
        <v>0</v>
      </c>
      <c r="T55" s="122">
        <f t="shared" si="9"/>
        <v>0</v>
      </c>
      <c r="U55" s="122">
        <f t="shared" si="9"/>
        <v>0</v>
      </c>
      <c r="V55" s="122">
        <f t="shared" si="9"/>
        <v>0</v>
      </c>
      <c r="W55" s="122">
        <f t="shared" si="9"/>
        <v>0</v>
      </c>
      <c r="X55" s="122">
        <f t="shared" si="9"/>
        <v>0</v>
      </c>
      <c r="Y55" s="122">
        <f t="shared" si="9"/>
        <v>0</v>
      </c>
      <c r="Z55" s="122">
        <f t="shared" si="9"/>
        <v>0</v>
      </c>
      <c r="AA55" s="122">
        <f t="shared" si="9"/>
        <v>0</v>
      </c>
      <c r="AB55" s="122">
        <f t="shared" si="9"/>
        <v>0</v>
      </c>
      <c r="AC55" s="122">
        <f t="shared" si="9"/>
        <v>0</v>
      </c>
      <c r="AD55" s="122">
        <f t="shared" si="9"/>
        <v>0</v>
      </c>
      <c r="AE55" s="122">
        <f t="shared" si="9"/>
        <v>0</v>
      </c>
      <c r="AF55" s="122">
        <f t="shared" si="9"/>
        <v>0</v>
      </c>
      <c r="AG55" s="122">
        <f t="shared" si="9"/>
        <v>0</v>
      </c>
      <c r="AH55" s="122">
        <f t="shared" si="9"/>
        <v>0</v>
      </c>
      <c r="AI55" s="122">
        <f t="shared" si="9"/>
        <v>0</v>
      </c>
      <c r="AJ55" s="122">
        <f t="shared" si="9"/>
        <v>0</v>
      </c>
      <c r="AK55" s="122">
        <f t="shared" si="9"/>
        <v>0</v>
      </c>
      <c r="AL55" s="122">
        <f t="shared" si="9"/>
        <v>0</v>
      </c>
      <c r="AM55" s="122">
        <f t="shared" si="9"/>
        <v>0</v>
      </c>
      <c r="AN55" s="122">
        <f t="shared" si="9"/>
        <v>0</v>
      </c>
      <c r="AO55" s="122">
        <f t="shared" si="9"/>
        <v>0</v>
      </c>
      <c r="AP55" s="122">
        <f t="shared" si="9"/>
        <v>0</v>
      </c>
    </row>
    <row r="56" spans="1:105" x14ac:dyDescent="0.2">
      <c r="A56" s="123" t="s">
        <v>348</v>
      </c>
      <c r="B56" s="124">
        <f t="shared" ref="B56:AP56" si="10">AVERAGE(SUM(B53:B54),(SUM(B53:B54)-B55))*$B$42</f>
        <v>0</v>
      </c>
      <c r="C56" s="124">
        <f t="shared" si="10"/>
        <v>0</v>
      </c>
      <c r="D56" s="124">
        <f t="shared" si="10"/>
        <v>0</v>
      </c>
      <c r="E56" s="124">
        <f t="shared" si="10"/>
        <v>0</v>
      </c>
      <c r="F56" s="124">
        <f t="shared" si="10"/>
        <v>0</v>
      </c>
      <c r="G56" s="124">
        <f t="shared" si="10"/>
        <v>0</v>
      </c>
      <c r="H56" s="124">
        <f t="shared" si="10"/>
        <v>0</v>
      </c>
      <c r="I56" s="124">
        <f t="shared" si="10"/>
        <v>0</v>
      </c>
      <c r="J56" s="124">
        <f t="shared" si="10"/>
        <v>0</v>
      </c>
      <c r="K56" s="124">
        <f t="shared" si="10"/>
        <v>0</v>
      </c>
      <c r="L56" s="124">
        <f t="shared" si="10"/>
        <v>0</v>
      </c>
      <c r="M56" s="124">
        <f t="shared" si="10"/>
        <v>0</v>
      </c>
      <c r="N56" s="124">
        <f t="shared" si="10"/>
        <v>0</v>
      </c>
      <c r="O56" s="124">
        <f t="shared" si="10"/>
        <v>0</v>
      </c>
      <c r="P56" s="124">
        <f t="shared" si="10"/>
        <v>0</v>
      </c>
      <c r="Q56" s="124">
        <f t="shared" si="10"/>
        <v>0</v>
      </c>
      <c r="R56" s="124">
        <f t="shared" si="10"/>
        <v>0</v>
      </c>
      <c r="S56" s="124">
        <f t="shared" si="10"/>
        <v>0</v>
      </c>
      <c r="T56" s="124">
        <f t="shared" si="10"/>
        <v>0</v>
      </c>
      <c r="U56" s="124">
        <f t="shared" si="10"/>
        <v>0</v>
      </c>
      <c r="V56" s="124">
        <f t="shared" si="10"/>
        <v>0</v>
      </c>
      <c r="W56" s="124">
        <f t="shared" si="10"/>
        <v>0</v>
      </c>
      <c r="X56" s="124">
        <f t="shared" si="10"/>
        <v>0</v>
      </c>
      <c r="Y56" s="124">
        <f t="shared" si="10"/>
        <v>0</v>
      </c>
      <c r="Z56" s="124">
        <f t="shared" si="10"/>
        <v>0</v>
      </c>
      <c r="AA56" s="124">
        <f t="shared" si="10"/>
        <v>0</v>
      </c>
      <c r="AB56" s="124">
        <f t="shared" si="10"/>
        <v>0</v>
      </c>
      <c r="AC56" s="124">
        <f t="shared" si="10"/>
        <v>0</v>
      </c>
      <c r="AD56" s="124">
        <f t="shared" si="10"/>
        <v>0</v>
      </c>
      <c r="AE56" s="124">
        <f t="shared" si="10"/>
        <v>0</v>
      </c>
      <c r="AF56" s="124">
        <f t="shared" si="10"/>
        <v>0</v>
      </c>
      <c r="AG56" s="124">
        <f t="shared" si="10"/>
        <v>0</v>
      </c>
      <c r="AH56" s="124">
        <f t="shared" si="10"/>
        <v>0</v>
      </c>
      <c r="AI56" s="124">
        <f t="shared" si="10"/>
        <v>0</v>
      </c>
      <c r="AJ56" s="124">
        <f t="shared" si="10"/>
        <v>0</v>
      </c>
      <c r="AK56" s="124">
        <f t="shared" si="10"/>
        <v>0</v>
      </c>
      <c r="AL56" s="124">
        <f t="shared" si="10"/>
        <v>0</v>
      </c>
      <c r="AM56" s="124">
        <f t="shared" si="10"/>
        <v>0</v>
      </c>
      <c r="AN56" s="124">
        <f t="shared" si="10"/>
        <v>0</v>
      </c>
      <c r="AO56" s="124">
        <f t="shared" si="10"/>
        <v>0</v>
      </c>
      <c r="AP56" s="124">
        <f t="shared" si="10"/>
        <v>0</v>
      </c>
    </row>
    <row r="57" spans="1:10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c r="CY57" s="76"/>
      <c r="CZ57" s="76"/>
      <c r="DA57" s="76"/>
    </row>
    <row r="58" spans="1:105" x14ac:dyDescent="0.2">
      <c r="A58" s="119" t="s">
        <v>349</v>
      </c>
      <c r="B58" s="120">
        <v>1</v>
      </c>
      <c r="C58" s="120">
        <f>B58+1</f>
        <v>2</v>
      </c>
      <c r="D58" s="120">
        <f t="shared" ref="D58:AP58" si="11">C58+1</f>
        <v>3</v>
      </c>
      <c r="E58" s="120">
        <f t="shared" si="11"/>
        <v>4</v>
      </c>
      <c r="F58" s="120">
        <f t="shared" si="11"/>
        <v>5</v>
      </c>
      <c r="G58" s="120">
        <f t="shared" si="11"/>
        <v>6</v>
      </c>
      <c r="H58" s="120">
        <f t="shared" si="11"/>
        <v>7</v>
      </c>
      <c r="I58" s="120">
        <f t="shared" si="11"/>
        <v>8</v>
      </c>
      <c r="J58" s="120">
        <f t="shared" si="11"/>
        <v>9</v>
      </c>
      <c r="K58" s="120">
        <f t="shared" si="11"/>
        <v>10</v>
      </c>
      <c r="L58" s="120">
        <f t="shared" si="11"/>
        <v>11</v>
      </c>
      <c r="M58" s="120">
        <f t="shared" si="11"/>
        <v>12</v>
      </c>
      <c r="N58" s="120">
        <f t="shared" si="11"/>
        <v>13</v>
      </c>
      <c r="O58" s="120">
        <f t="shared" si="11"/>
        <v>14</v>
      </c>
      <c r="P58" s="120">
        <f t="shared" si="11"/>
        <v>15</v>
      </c>
      <c r="Q58" s="120">
        <f t="shared" si="11"/>
        <v>16</v>
      </c>
      <c r="R58" s="120">
        <f t="shared" si="11"/>
        <v>17</v>
      </c>
      <c r="S58" s="120">
        <f t="shared" si="11"/>
        <v>18</v>
      </c>
      <c r="T58" s="120">
        <f t="shared" si="11"/>
        <v>19</v>
      </c>
      <c r="U58" s="120">
        <f t="shared" si="11"/>
        <v>20</v>
      </c>
      <c r="V58" s="120">
        <f t="shared" si="11"/>
        <v>21</v>
      </c>
      <c r="W58" s="120">
        <f t="shared" si="11"/>
        <v>22</v>
      </c>
      <c r="X58" s="120">
        <f t="shared" si="11"/>
        <v>23</v>
      </c>
      <c r="Y58" s="120">
        <f t="shared" si="11"/>
        <v>24</v>
      </c>
      <c r="Z58" s="120">
        <f t="shared" si="11"/>
        <v>25</v>
      </c>
      <c r="AA58" s="120">
        <f t="shared" si="11"/>
        <v>26</v>
      </c>
      <c r="AB58" s="120">
        <f t="shared" si="11"/>
        <v>27</v>
      </c>
      <c r="AC58" s="120">
        <f t="shared" si="11"/>
        <v>28</v>
      </c>
      <c r="AD58" s="120">
        <f t="shared" si="11"/>
        <v>29</v>
      </c>
      <c r="AE58" s="120">
        <f t="shared" si="11"/>
        <v>30</v>
      </c>
      <c r="AF58" s="120">
        <f t="shared" si="11"/>
        <v>31</v>
      </c>
      <c r="AG58" s="120">
        <f t="shared" si="11"/>
        <v>32</v>
      </c>
      <c r="AH58" s="120">
        <f t="shared" si="11"/>
        <v>33</v>
      </c>
      <c r="AI58" s="120">
        <f t="shared" si="11"/>
        <v>34</v>
      </c>
      <c r="AJ58" s="120">
        <f t="shared" si="11"/>
        <v>35</v>
      </c>
      <c r="AK58" s="120">
        <f t="shared" si="11"/>
        <v>36</v>
      </c>
      <c r="AL58" s="120">
        <f t="shared" si="11"/>
        <v>37</v>
      </c>
      <c r="AM58" s="120">
        <f t="shared" si="11"/>
        <v>38</v>
      </c>
      <c r="AN58" s="120">
        <f t="shared" si="11"/>
        <v>39</v>
      </c>
      <c r="AO58" s="120">
        <f t="shared" si="11"/>
        <v>40</v>
      </c>
      <c r="AP58" s="120">
        <f t="shared" si="11"/>
        <v>41</v>
      </c>
    </row>
    <row r="59" spans="1:105" ht="14.25" x14ac:dyDescent="0.2">
      <c r="A59" s="128" t="s">
        <v>350</v>
      </c>
      <c r="B59" s="129">
        <f t="shared" ref="B59:AP59" si="12">B50*$B$28</f>
        <v>169793684.18333334</v>
      </c>
      <c r="C59" s="129">
        <f t="shared" si="12"/>
        <v>0</v>
      </c>
      <c r="D59" s="129">
        <f t="shared" si="12"/>
        <v>0</v>
      </c>
      <c r="E59" s="129">
        <f t="shared" si="12"/>
        <v>0</v>
      </c>
      <c r="F59" s="129">
        <f t="shared" si="12"/>
        <v>0</v>
      </c>
      <c r="G59" s="129">
        <f t="shared" si="12"/>
        <v>0</v>
      </c>
      <c r="H59" s="129">
        <f t="shared" si="12"/>
        <v>0</v>
      </c>
      <c r="I59" s="129">
        <f t="shared" si="12"/>
        <v>0</v>
      </c>
      <c r="J59" s="129">
        <f t="shared" si="12"/>
        <v>0</v>
      </c>
      <c r="K59" s="129">
        <f t="shared" si="12"/>
        <v>0</v>
      </c>
      <c r="L59" s="129">
        <f t="shared" si="12"/>
        <v>0</v>
      </c>
      <c r="M59" s="129">
        <f t="shared" si="12"/>
        <v>0</v>
      </c>
      <c r="N59" s="129">
        <f t="shared" si="12"/>
        <v>0</v>
      </c>
      <c r="O59" s="129">
        <f t="shared" si="12"/>
        <v>0</v>
      </c>
      <c r="P59" s="129">
        <f t="shared" si="12"/>
        <v>0</v>
      </c>
      <c r="Q59" s="129">
        <f t="shared" si="12"/>
        <v>0</v>
      </c>
      <c r="R59" s="129">
        <f t="shared" si="12"/>
        <v>0</v>
      </c>
      <c r="S59" s="129">
        <f t="shared" si="12"/>
        <v>0</v>
      </c>
      <c r="T59" s="129">
        <f t="shared" si="12"/>
        <v>0</v>
      </c>
      <c r="U59" s="129">
        <f t="shared" si="12"/>
        <v>0</v>
      </c>
      <c r="V59" s="129">
        <f t="shared" si="12"/>
        <v>0</v>
      </c>
      <c r="W59" s="129">
        <f t="shared" si="12"/>
        <v>0</v>
      </c>
      <c r="X59" s="129">
        <f t="shared" si="12"/>
        <v>0</v>
      </c>
      <c r="Y59" s="129">
        <f t="shared" si="12"/>
        <v>0</v>
      </c>
      <c r="Z59" s="129">
        <f t="shared" si="12"/>
        <v>0</v>
      </c>
      <c r="AA59" s="129">
        <f t="shared" si="12"/>
        <v>0</v>
      </c>
      <c r="AB59" s="129">
        <f t="shared" si="12"/>
        <v>0</v>
      </c>
      <c r="AC59" s="129">
        <f t="shared" si="12"/>
        <v>0</v>
      </c>
      <c r="AD59" s="129">
        <f t="shared" si="12"/>
        <v>0</v>
      </c>
      <c r="AE59" s="129">
        <f t="shared" si="12"/>
        <v>0</v>
      </c>
      <c r="AF59" s="129">
        <f t="shared" si="12"/>
        <v>0</v>
      </c>
      <c r="AG59" s="129">
        <f t="shared" si="12"/>
        <v>0</v>
      </c>
      <c r="AH59" s="129">
        <f t="shared" si="12"/>
        <v>0</v>
      </c>
      <c r="AI59" s="129">
        <f t="shared" si="12"/>
        <v>0</v>
      </c>
      <c r="AJ59" s="129">
        <f t="shared" si="12"/>
        <v>0</v>
      </c>
      <c r="AK59" s="129">
        <f t="shared" si="12"/>
        <v>0</v>
      </c>
      <c r="AL59" s="129">
        <f t="shared" si="12"/>
        <v>0</v>
      </c>
      <c r="AM59" s="129">
        <f t="shared" si="12"/>
        <v>0</v>
      </c>
      <c r="AN59" s="129">
        <f t="shared" si="12"/>
        <v>0</v>
      </c>
      <c r="AO59" s="129">
        <f t="shared" si="12"/>
        <v>0</v>
      </c>
      <c r="AP59" s="129">
        <f t="shared" si="12"/>
        <v>0</v>
      </c>
    </row>
    <row r="60" spans="1:105" x14ac:dyDescent="0.2">
      <c r="A60" s="121" t="s">
        <v>351</v>
      </c>
      <c r="B60" s="122">
        <f t="shared" ref="B60:Z60" si="13">SUM(B61:B65)</f>
        <v>0</v>
      </c>
      <c r="C60" s="122">
        <f t="shared" si="13"/>
        <v>0</v>
      </c>
      <c r="D60" s="122">
        <f>SUM(D61:D65)</f>
        <v>0</v>
      </c>
      <c r="E60" s="122">
        <f t="shared" si="13"/>
        <v>0</v>
      </c>
      <c r="F60" s="122">
        <f t="shared" si="13"/>
        <v>0</v>
      </c>
      <c r="G60" s="122">
        <f t="shared" si="13"/>
        <v>0</v>
      </c>
      <c r="H60" s="122">
        <f t="shared" si="13"/>
        <v>0</v>
      </c>
      <c r="I60" s="122">
        <f t="shared" si="13"/>
        <v>0</v>
      </c>
      <c r="J60" s="122">
        <f t="shared" si="13"/>
        <v>0</v>
      </c>
      <c r="K60" s="122">
        <f t="shared" si="13"/>
        <v>0</v>
      </c>
      <c r="L60" s="122">
        <f t="shared" si="13"/>
        <v>0</v>
      </c>
      <c r="M60" s="122">
        <f t="shared" si="13"/>
        <v>0</v>
      </c>
      <c r="N60" s="122">
        <f t="shared" si="13"/>
        <v>0</v>
      </c>
      <c r="O60" s="122">
        <f t="shared" si="13"/>
        <v>0</v>
      </c>
      <c r="P60" s="122">
        <f t="shared" si="13"/>
        <v>0</v>
      </c>
      <c r="Q60" s="122">
        <f t="shared" si="13"/>
        <v>0</v>
      </c>
      <c r="R60" s="122">
        <f t="shared" si="13"/>
        <v>0</v>
      </c>
      <c r="S60" s="122">
        <f t="shared" si="13"/>
        <v>0</v>
      </c>
      <c r="T60" s="122">
        <f t="shared" si="13"/>
        <v>0</v>
      </c>
      <c r="U60" s="122">
        <f t="shared" si="13"/>
        <v>0</v>
      </c>
      <c r="V60" s="122">
        <f t="shared" si="13"/>
        <v>0</v>
      </c>
      <c r="W60" s="122">
        <f t="shared" si="13"/>
        <v>0</v>
      </c>
      <c r="X60" s="122">
        <f t="shared" si="13"/>
        <v>0</v>
      </c>
      <c r="Y60" s="122">
        <f t="shared" si="13"/>
        <v>0</v>
      </c>
      <c r="Z60" s="122">
        <f t="shared" si="13"/>
        <v>0</v>
      </c>
      <c r="AA60" s="122">
        <f t="shared" ref="AA60:AP60" si="14">SUM(AA61:AA65)</f>
        <v>0</v>
      </c>
      <c r="AB60" s="122">
        <f t="shared" si="14"/>
        <v>0</v>
      </c>
      <c r="AC60" s="122">
        <f t="shared" si="14"/>
        <v>0</v>
      </c>
      <c r="AD60" s="122">
        <f t="shared" si="14"/>
        <v>0</v>
      </c>
      <c r="AE60" s="122">
        <f t="shared" si="14"/>
        <v>0</v>
      </c>
      <c r="AF60" s="122">
        <f t="shared" si="14"/>
        <v>-21180146.51901798</v>
      </c>
      <c r="AG60" s="122">
        <f t="shared" si="14"/>
        <v>-22116499.190616407</v>
      </c>
      <c r="AH60" s="122">
        <f t="shared" si="14"/>
        <v>-23094247.058646653</v>
      </c>
      <c r="AI60" s="122">
        <f t="shared" si="14"/>
        <v>-24115220.162515458</v>
      </c>
      <c r="AJ60" s="122">
        <f t="shared" si="14"/>
        <v>-25181329.445804894</v>
      </c>
      <c r="AK60" s="122">
        <f t="shared" si="14"/>
        <v>-26294570.332963433</v>
      </c>
      <c r="AL60" s="122">
        <f t="shared" si="14"/>
        <v>-27457026.464118872</v>
      </c>
      <c r="AM60" s="122">
        <f t="shared" si="14"/>
        <v>-28670873.595003515</v>
      </c>
      <c r="AN60" s="122">
        <f t="shared" si="14"/>
        <v>-29938383.66929109</v>
      </c>
      <c r="AO60" s="122">
        <f t="shared" si="14"/>
        <v>-31261929.070967522</v>
      </c>
      <c r="AP60" s="122">
        <f t="shared" si="14"/>
        <v>-32643987.064694662</v>
      </c>
    </row>
    <row r="61" spans="1:105" x14ac:dyDescent="0.2">
      <c r="A61" s="130" t="s">
        <v>352</v>
      </c>
      <c r="B61" s="122"/>
      <c r="C61" s="122">
        <f>-IF(C$47&lt;=$B$30,0,$B$29*(1+C$49)*$B$28)</f>
        <v>0</v>
      </c>
      <c r="D61" s="122">
        <f>-IF(D$47&lt;=$B$30,0,$B$29*(1+D$49)*$B$28)</f>
        <v>0</v>
      </c>
      <c r="E61" s="122">
        <f t="shared" ref="E61:AP61" si="15">-IF(E$47&lt;=$B$30,0,$B$29*(1+E$49)*$B$28)</f>
        <v>0</v>
      </c>
      <c r="F61" s="122">
        <f t="shared" si="15"/>
        <v>0</v>
      </c>
      <c r="G61" s="122">
        <f t="shared" si="15"/>
        <v>0</v>
      </c>
      <c r="H61" s="122">
        <f t="shared" si="15"/>
        <v>0</v>
      </c>
      <c r="I61" s="122">
        <f t="shared" si="15"/>
        <v>0</v>
      </c>
      <c r="J61" s="122">
        <f t="shared" si="15"/>
        <v>0</v>
      </c>
      <c r="K61" s="122">
        <f t="shared" si="15"/>
        <v>0</v>
      </c>
      <c r="L61" s="122">
        <f t="shared" si="15"/>
        <v>0</v>
      </c>
      <c r="M61" s="122">
        <f t="shared" si="15"/>
        <v>0</v>
      </c>
      <c r="N61" s="122">
        <f t="shared" si="15"/>
        <v>0</v>
      </c>
      <c r="O61" s="122">
        <f t="shared" si="15"/>
        <v>0</v>
      </c>
      <c r="P61" s="122">
        <f t="shared" si="15"/>
        <v>0</v>
      </c>
      <c r="Q61" s="122">
        <f t="shared" si="15"/>
        <v>0</v>
      </c>
      <c r="R61" s="122">
        <f t="shared" si="15"/>
        <v>0</v>
      </c>
      <c r="S61" s="122">
        <f t="shared" si="15"/>
        <v>0</v>
      </c>
      <c r="T61" s="122">
        <f t="shared" si="15"/>
        <v>0</v>
      </c>
      <c r="U61" s="122">
        <f t="shared" si="15"/>
        <v>0</v>
      </c>
      <c r="V61" s="122">
        <f t="shared" si="15"/>
        <v>0</v>
      </c>
      <c r="W61" s="122">
        <f t="shared" si="15"/>
        <v>0</v>
      </c>
      <c r="X61" s="122">
        <f t="shared" si="15"/>
        <v>0</v>
      </c>
      <c r="Y61" s="122">
        <f t="shared" si="15"/>
        <v>0</v>
      </c>
      <c r="Z61" s="122">
        <f t="shared" si="15"/>
        <v>0</v>
      </c>
      <c r="AA61" s="122">
        <f t="shared" si="15"/>
        <v>0</v>
      </c>
      <c r="AB61" s="122">
        <f t="shared" si="15"/>
        <v>0</v>
      </c>
      <c r="AC61" s="122">
        <f t="shared" si="15"/>
        <v>0</v>
      </c>
      <c r="AD61" s="122">
        <f t="shared" si="15"/>
        <v>0</v>
      </c>
      <c r="AE61" s="122">
        <f t="shared" si="15"/>
        <v>0</v>
      </c>
      <c r="AF61" s="122">
        <f t="shared" si="15"/>
        <v>-21180146.51901798</v>
      </c>
      <c r="AG61" s="122">
        <f t="shared" si="15"/>
        <v>-22116499.190616407</v>
      </c>
      <c r="AH61" s="122">
        <f t="shared" si="15"/>
        <v>-23094247.058646653</v>
      </c>
      <c r="AI61" s="122">
        <f t="shared" si="15"/>
        <v>-24115220.162515458</v>
      </c>
      <c r="AJ61" s="122">
        <f t="shared" si="15"/>
        <v>-25181329.445804894</v>
      </c>
      <c r="AK61" s="122">
        <f t="shared" si="15"/>
        <v>-26294570.332963433</v>
      </c>
      <c r="AL61" s="122">
        <f t="shared" si="15"/>
        <v>-27457026.464118872</v>
      </c>
      <c r="AM61" s="122">
        <f t="shared" si="15"/>
        <v>-28670873.595003515</v>
      </c>
      <c r="AN61" s="122">
        <f t="shared" si="15"/>
        <v>-29938383.66929109</v>
      </c>
      <c r="AO61" s="122">
        <f t="shared" si="15"/>
        <v>-31261929.070967522</v>
      </c>
      <c r="AP61" s="122">
        <f t="shared" si="15"/>
        <v>-32643987.064694662</v>
      </c>
    </row>
    <row r="62" spans="1:10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105" x14ac:dyDescent="0.2">
      <c r="A63" s="130" t="s">
        <v>330</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105" x14ac:dyDescent="0.2">
      <c r="A64" s="130" t="s">
        <v>330</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103" ht="31.5" x14ac:dyDescent="0.2">
      <c r="A65" s="130" t="s">
        <v>353</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103" ht="28.5" x14ac:dyDescent="0.2">
      <c r="A66" s="131" t="s">
        <v>354</v>
      </c>
      <c r="B66" s="129">
        <f t="shared" ref="B66:AO66" si="16">B59+B60</f>
        <v>169793684.18333334</v>
      </c>
      <c r="C66" s="129">
        <f t="shared" si="16"/>
        <v>0</v>
      </c>
      <c r="D66" s="129">
        <f t="shared" si="16"/>
        <v>0</v>
      </c>
      <c r="E66" s="129">
        <f t="shared" si="16"/>
        <v>0</v>
      </c>
      <c r="F66" s="129">
        <f t="shared" si="16"/>
        <v>0</v>
      </c>
      <c r="G66" s="129">
        <f t="shared" si="16"/>
        <v>0</v>
      </c>
      <c r="H66" s="129">
        <f t="shared" si="16"/>
        <v>0</v>
      </c>
      <c r="I66" s="129">
        <f t="shared" si="16"/>
        <v>0</v>
      </c>
      <c r="J66" s="129">
        <f t="shared" si="16"/>
        <v>0</v>
      </c>
      <c r="K66" s="129">
        <f t="shared" si="16"/>
        <v>0</v>
      </c>
      <c r="L66" s="129">
        <f t="shared" si="16"/>
        <v>0</v>
      </c>
      <c r="M66" s="129">
        <f t="shared" si="16"/>
        <v>0</v>
      </c>
      <c r="N66" s="129">
        <f t="shared" si="16"/>
        <v>0</v>
      </c>
      <c r="O66" s="129">
        <f t="shared" si="16"/>
        <v>0</v>
      </c>
      <c r="P66" s="129">
        <f t="shared" si="16"/>
        <v>0</v>
      </c>
      <c r="Q66" s="129">
        <f t="shared" si="16"/>
        <v>0</v>
      </c>
      <c r="R66" s="129">
        <f t="shared" si="16"/>
        <v>0</v>
      </c>
      <c r="S66" s="129">
        <f t="shared" si="16"/>
        <v>0</v>
      </c>
      <c r="T66" s="129">
        <f t="shared" si="16"/>
        <v>0</v>
      </c>
      <c r="U66" s="129">
        <f t="shared" si="16"/>
        <v>0</v>
      </c>
      <c r="V66" s="129">
        <f t="shared" si="16"/>
        <v>0</v>
      </c>
      <c r="W66" s="129">
        <f t="shared" si="16"/>
        <v>0</v>
      </c>
      <c r="X66" s="129">
        <f t="shared" si="16"/>
        <v>0</v>
      </c>
      <c r="Y66" s="129">
        <f t="shared" si="16"/>
        <v>0</v>
      </c>
      <c r="Z66" s="129">
        <f t="shared" si="16"/>
        <v>0</v>
      </c>
      <c r="AA66" s="129">
        <f t="shared" si="16"/>
        <v>0</v>
      </c>
      <c r="AB66" s="129">
        <f t="shared" si="16"/>
        <v>0</v>
      </c>
      <c r="AC66" s="129">
        <f t="shared" si="16"/>
        <v>0</v>
      </c>
      <c r="AD66" s="129">
        <f t="shared" si="16"/>
        <v>0</v>
      </c>
      <c r="AE66" s="129">
        <f t="shared" si="16"/>
        <v>0</v>
      </c>
      <c r="AF66" s="129">
        <f t="shared" si="16"/>
        <v>-21180146.51901798</v>
      </c>
      <c r="AG66" s="129">
        <f t="shared" si="16"/>
        <v>-22116499.190616407</v>
      </c>
      <c r="AH66" s="129">
        <f t="shared" si="16"/>
        <v>-23094247.058646653</v>
      </c>
      <c r="AI66" s="129">
        <f t="shared" si="16"/>
        <v>-24115220.162515458</v>
      </c>
      <c r="AJ66" s="129">
        <f t="shared" si="16"/>
        <v>-25181329.445804894</v>
      </c>
      <c r="AK66" s="129">
        <f t="shared" si="16"/>
        <v>-26294570.332963433</v>
      </c>
      <c r="AL66" s="129">
        <f t="shared" si="16"/>
        <v>-27457026.464118872</v>
      </c>
      <c r="AM66" s="129">
        <f t="shared" si="16"/>
        <v>-28670873.595003515</v>
      </c>
      <c r="AN66" s="129">
        <f t="shared" si="16"/>
        <v>-29938383.66929109</v>
      </c>
      <c r="AO66" s="129">
        <f t="shared" si="16"/>
        <v>-31261929.070967522</v>
      </c>
      <c r="AP66" s="129">
        <f>AP59+AP60</f>
        <v>-32643987.064694662</v>
      </c>
    </row>
    <row r="67" spans="1:103" x14ac:dyDescent="0.2">
      <c r="A67" s="130" t="s">
        <v>355</v>
      </c>
      <c r="B67" s="132"/>
      <c r="C67" s="122">
        <f>-($B$25)*$B$28/$B$27</f>
        <v>-5859698.5906666666</v>
      </c>
      <c r="D67" s="122">
        <f>C67</f>
        <v>-5859698.5906666666</v>
      </c>
      <c r="E67" s="122">
        <f t="shared" ref="E67:AP67" si="17">D67</f>
        <v>-5859698.5906666666</v>
      </c>
      <c r="F67" s="122">
        <f t="shared" si="17"/>
        <v>-5859698.5906666666</v>
      </c>
      <c r="G67" s="122">
        <f t="shared" si="17"/>
        <v>-5859698.5906666666</v>
      </c>
      <c r="H67" s="122">
        <f t="shared" si="17"/>
        <v>-5859698.5906666666</v>
      </c>
      <c r="I67" s="122">
        <f t="shared" si="17"/>
        <v>-5859698.5906666666</v>
      </c>
      <c r="J67" s="122">
        <f t="shared" si="17"/>
        <v>-5859698.5906666666</v>
      </c>
      <c r="K67" s="122">
        <f t="shared" si="17"/>
        <v>-5859698.5906666666</v>
      </c>
      <c r="L67" s="122">
        <f t="shared" si="17"/>
        <v>-5859698.5906666666</v>
      </c>
      <c r="M67" s="122">
        <f t="shared" si="17"/>
        <v>-5859698.5906666666</v>
      </c>
      <c r="N67" s="122">
        <f t="shared" si="17"/>
        <v>-5859698.5906666666</v>
      </c>
      <c r="O67" s="122">
        <f t="shared" si="17"/>
        <v>-5859698.5906666666</v>
      </c>
      <c r="P67" s="122">
        <f t="shared" si="17"/>
        <v>-5859698.5906666666</v>
      </c>
      <c r="Q67" s="122">
        <f t="shared" si="17"/>
        <v>-5859698.5906666666</v>
      </c>
      <c r="R67" s="122">
        <f t="shared" si="17"/>
        <v>-5859698.5906666666</v>
      </c>
      <c r="S67" s="122">
        <f t="shared" si="17"/>
        <v>-5859698.5906666666</v>
      </c>
      <c r="T67" s="122">
        <f t="shared" si="17"/>
        <v>-5859698.5906666666</v>
      </c>
      <c r="U67" s="122">
        <f t="shared" si="17"/>
        <v>-5859698.5906666666</v>
      </c>
      <c r="V67" s="122">
        <f t="shared" si="17"/>
        <v>-5859698.5906666666</v>
      </c>
      <c r="W67" s="122">
        <f t="shared" si="17"/>
        <v>-5859698.5906666666</v>
      </c>
      <c r="X67" s="122">
        <f t="shared" si="17"/>
        <v>-5859698.5906666666</v>
      </c>
      <c r="Y67" s="122">
        <f t="shared" si="17"/>
        <v>-5859698.5906666666</v>
      </c>
      <c r="Z67" s="122">
        <f t="shared" si="17"/>
        <v>-5859698.5906666666</v>
      </c>
      <c r="AA67" s="122">
        <f t="shared" si="17"/>
        <v>-5859698.5906666666</v>
      </c>
      <c r="AB67" s="122">
        <f t="shared" si="17"/>
        <v>-5859698.5906666666</v>
      </c>
      <c r="AC67" s="122">
        <f t="shared" si="17"/>
        <v>-5859698.5906666666</v>
      </c>
      <c r="AD67" s="122">
        <f t="shared" si="17"/>
        <v>-5859698.5906666666</v>
      </c>
      <c r="AE67" s="122">
        <f t="shared" si="17"/>
        <v>-5859698.5906666666</v>
      </c>
      <c r="AF67" s="122">
        <f t="shared" si="17"/>
        <v>-5859698.5906666666</v>
      </c>
      <c r="AG67" s="122">
        <f t="shared" si="17"/>
        <v>-5859698.5906666666</v>
      </c>
      <c r="AH67" s="122">
        <f t="shared" si="17"/>
        <v>-5859698.5906666666</v>
      </c>
      <c r="AI67" s="122">
        <f t="shared" si="17"/>
        <v>-5859698.5906666666</v>
      </c>
      <c r="AJ67" s="122">
        <f t="shared" si="17"/>
        <v>-5859698.5906666666</v>
      </c>
      <c r="AK67" s="122">
        <f t="shared" si="17"/>
        <v>-5859698.5906666666</v>
      </c>
      <c r="AL67" s="122">
        <f t="shared" si="17"/>
        <v>-5859698.5906666666</v>
      </c>
      <c r="AM67" s="122">
        <f t="shared" si="17"/>
        <v>-5859698.5906666666</v>
      </c>
      <c r="AN67" s="122">
        <f t="shared" si="17"/>
        <v>-5859698.5906666666</v>
      </c>
      <c r="AO67" s="122">
        <f t="shared" si="17"/>
        <v>-5859698.5906666666</v>
      </c>
      <c r="AP67" s="122">
        <f t="shared" si="17"/>
        <v>-5859698.5906666666</v>
      </c>
      <c r="AQ67" s="133">
        <f>SUM(B67:AA67)/1.18</f>
        <v>-124146156.58192089</v>
      </c>
      <c r="AR67" s="134">
        <f>SUM(B67:AF67)/1.18</f>
        <v>-148975387.89830503</v>
      </c>
      <c r="AS67" s="134">
        <f>SUM(B67:AP67)/1.18</f>
        <v>-198633850.53107324</v>
      </c>
    </row>
    <row r="68" spans="1:103" ht="28.5" x14ac:dyDescent="0.2">
      <c r="A68" s="131" t="s">
        <v>356</v>
      </c>
      <c r="B68" s="129">
        <f t="shared" ref="B68:J68" si="18">B66+B67</f>
        <v>169793684.18333334</v>
      </c>
      <c r="C68" s="129">
        <f>C66+C67</f>
        <v>-5859698.5906666666</v>
      </c>
      <c r="D68" s="129">
        <f>D66+D67</f>
        <v>-5859698.5906666666</v>
      </c>
      <c r="E68" s="129">
        <f t="shared" si="18"/>
        <v>-5859698.5906666666</v>
      </c>
      <c r="F68" s="129">
        <f>F66+C67</f>
        <v>-5859698.5906666666</v>
      </c>
      <c r="G68" s="129">
        <f t="shared" si="18"/>
        <v>-5859698.5906666666</v>
      </c>
      <c r="H68" s="129">
        <f t="shared" si="18"/>
        <v>-5859698.5906666666</v>
      </c>
      <c r="I68" s="129">
        <f t="shared" si="18"/>
        <v>-5859698.5906666666</v>
      </c>
      <c r="J68" s="129">
        <f t="shared" si="18"/>
        <v>-5859698.5906666666</v>
      </c>
      <c r="K68" s="129">
        <f>K66+K67</f>
        <v>-5859698.5906666666</v>
      </c>
      <c r="L68" s="129">
        <f>L66+L67</f>
        <v>-5859698.5906666666</v>
      </c>
      <c r="M68" s="129">
        <f t="shared" ref="M68:AO68" si="19">M66+M67</f>
        <v>-5859698.5906666666</v>
      </c>
      <c r="N68" s="129">
        <f t="shared" si="19"/>
        <v>-5859698.5906666666</v>
      </c>
      <c r="O68" s="129">
        <f t="shared" si="19"/>
        <v>-5859698.5906666666</v>
      </c>
      <c r="P68" s="129">
        <f t="shared" si="19"/>
        <v>-5859698.5906666666</v>
      </c>
      <c r="Q68" s="129">
        <f t="shared" si="19"/>
        <v>-5859698.5906666666</v>
      </c>
      <c r="R68" s="129">
        <f t="shared" si="19"/>
        <v>-5859698.5906666666</v>
      </c>
      <c r="S68" s="129">
        <f t="shared" si="19"/>
        <v>-5859698.5906666666</v>
      </c>
      <c r="T68" s="129">
        <f t="shared" si="19"/>
        <v>-5859698.5906666666</v>
      </c>
      <c r="U68" s="129">
        <f t="shared" si="19"/>
        <v>-5859698.5906666666</v>
      </c>
      <c r="V68" s="129">
        <f t="shared" si="19"/>
        <v>-5859698.5906666666</v>
      </c>
      <c r="W68" s="129">
        <f t="shared" si="19"/>
        <v>-5859698.5906666666</v>
      </c>
      <c r="X68" s="129">
        <f t="shared" si="19"/>
        <v>-5859698.5906666666</v>
      </c>
      <c r="Y68" s="129">
        <f t="shared" si="19"/>
        <v>-5859698.5906666666</v>
      </c>
      <c r="Z68" s="129">
        <f t="shared" si="19"/>
        <v>-5859698.5906666666</v>
      </c>
      <c r="AA68" s="129">
        <f t="shared" si="19"/>
        <v>-5859698.5906666666</v>
      </c>
      <c r="AB68" s="129">
        <f t="shared" si="19"/>
        <v>-5859698.5906666666</v>
      </c>
      <c r="AC68" s="129">
        <f t="shared" si="19"/>
        <v>-5859698.5906666666</v>
      </c>
      <c r="AD68" s="129">
        <f t="shared" si="19"/>
        <v>-5859698.5906666666</v>
      </c>
      <c r="AE68" s="129">
        <f t="shared" si="19"/>
        <v>-5859698.5906666666</v>
      </c>
      <c r="AF68" s="129">
        <f t="shared" si="19"/>
        <v>-27039845.109684646</v>
      </c>
      <c r="AG68" s="129">
        <f t="shared" si="19"/>
        <v>-27976197.781283073</v>
      </c>
      <c r="AH68" s="129">
        <f t="shared" si="19"/>
        <v>-28953945.649313319</v>
      </c>
      <c r="AI68" s="129">
        <f t="shared" si="19"/>
        <v>-29974918.753182124</v>
      </c>
      <c r="AJ68" s="129">
        <f t="shared" si="19"/>
        <v>-31041028.036471561</v>
      </c>
      <c r="AK68" s="129">
        <f t="shared" si="19"/>
        <v>-32154268.9236301</v>
      </c>
      <c r="AL68" s="129">
        <f t="shared" si="19"/>
        <v>-33316725.054785538</v>
      </c>
      <c r="AM68" s="129">
        <f t="shared" si="19"/>
        <v>-34530572.185670182</v>
      </c>
      <c r="AN68" s="129">
        <f t="shared" si="19"/>
        <v>-35798082.259957761</v>
      </c>
      <c r="AO68" s="129">
        <f t="shared" si="19"/>
        <v>-37121627.661634192</v>
      </c>
      <c r="AP68" s="129">
        <f>AP66+AP67</f>
        <v>-38503685.655361325</v>
      </c>
      <c r="AQ68" s="79">
        <v>25</v>
      </c>
      <c r="AR68" s="79">
        <v>30</v>
      </c>
      <c r="AS68" s="79">
        <v>40</v>
      </c>
    </row>
    <row r="69" spans="1:103" x14ac:dyDescent="0.2">
      <c r="A69" s="130" t="s">
        <v>357</v>
      </c>
      <c r="B69" s="122">
        <f t="shared" ref="B69:AO69" si="20">-B56</f>
        <v>0</v>
      </c>
      <c r="C69" s="122">
        <f t="shared" si="20"/>
        <v>0</v>
      </c>
      <c r="D69" s="122">
        <f t="shared" si="20"/>
        <v>0</v>
      </c>
      <c r="E69" s="122">
        <f t="shared" si="20"/>
        <v>0</v>
      </c>
      <c r="F69" s="122">
        <f t="shared" si="20"/>
        <v>0</v>
      </c>
      <c r="G69" s="122">
        <f t="shared" si="20"/>
        <v>0</v>
      </c>
      <c r="H69" s="122">
        <f t="shared" si="20"/>
        <v>0</v>
      </c>
      <c r="I69" s="122">
        <f t="shared" si="20"/>
        <v>0</v>
      </c>
      <c r="J69" s="122">
        <f t="shared" si="20"/>
        <v>0</v>
      </c>
      <c r="K69" s="122">
        <f t="shared" si="20"/>
        <v>0</v>
      </c>
      <c r="L69" s="122">
        <f t="shared" si="20"/>
        <v>0</v>
      </c>
      <c r="M69" s="122">
        <f t="shared" si="20"/>
        <v>0</v>
      </c>
      <c r="N69" s="122">
        <f t="shared" si="20"/>
        <v>0</v>
      </c>
      <c r="O69" s="122">
        <f t="shared" si="20"/>
        <v>0</v>
      </c>
      <c r="P69" s="122">
        <f t="shared" si="20"/>
        <v>0</v>
      </c>
      <c r="Q69" s="122">
        <f t="shared" si="20"/>
        <v>0</v>
      </c>
      <c r="R69" s="122">
        <f t="shared" si="20"/>
        <v>0</v>
      </c>
      <c r="S69" s="122">
        <f t="shared" si="20"/>
        <v>0</v>
      </c>
      <c r="T69" s="122">
        <f t="shared" si="20"/>
        <v>0</v>
      </c>
      <c r="U69" s="122">
        <f t="shared" si="20"/>
        <v>0</v>
      </c>
      <c r="V69" s="122">
        <f t="shared" si="20"/>
        <v>0</v>
      </c>
      <c r="W69" s="122">
        <f t="shared" si="20"/>
        <v>0</v>
      </c>
      <c r="X69" s="122">
        <f t="shared" si="20"/>
        <v>0</v>
      </c>
      <c r="Y69" s="122">
        <f t="shared" si="20"/>
        <v>0</v>
      </c>
      <c r="Z69" s="122">
        <f t="shared" si="20"/>
        <v>0</v>
      </c>
      <c r="AA69" s="122">
        <f t="shared" si="20"/>
        <v>0</v>
      </c>
      <c r="AB69" s="122">
        <f t="shared" si="20"/>
        <v>0</v>
      </c>
      <c r="AC69" s="122">
        <f t="shared" si="20"/>
        <v>0</v>
      </c>
      <c r="AD69" s="122">
        <f t="shared" si="20"/>
        <v>0</v>
      </c>
      <c r="AE69" s="122">
        <f t="shared" si="20"/>
        <v>0</v>
      </c>
      <c r="AF69" s="122">
        <f t="shared" si="20"/>
        <v>0</v>
      </c>
      <c r="AG69" s="122">
        <f t="shared" si="20"/>
        <v>0</v>
      </c>
      <c r="AH69" s="122">
        <f t="shared" si="20"/>
        <v>0</v>
      </c>
      <c r="AI69" s="122">
        <f t="shared" si="20"/>
        <v>0</v>
      </c>
      <c r="AJ69" s="122">
        <f t="shared" si="20"/>
        <v>0</v>
      </c>
      <c r="AK69" s="122">
        <f t="shared" si="20"/>
        <v>0</v>
      </c>
      <c r="AL69" s="122">
        <f t="shared" si="20"/>
        <v>0</v>
      </c>
      <c r="AM69" s="122">
        <f t="shared" si="20"/>
        <v>0</v>
      </c>
      <c r="AN69" s="122">
        <f t="shared" si="20"/>
        <v>0</v>
      </c>
      <c r="AO69" s="122">
        <f t="shared" si="20"/>
        <v>0</v>
      </c>
      <c r="AP69" s="122">
        <f>-AP56</f>
        <v>0</v>
      </c>
    </row>
    <row r="70" spans="1:103" ht="14.25" x14ac:dyDescent="0.2">
      <c r="A70" s="131" t="s">
        <v>358</v>
      </c>
      <c r="B70" s="129">
        <f t="shared" ref="B70:AO70" si="21">B68+B69</f>
        <v>169793684.18333334</v>
      </c>
      <c r="C70" s="129">
        <f t="shared" si="21"/>
        <v>-5859698.5906666666</v>
      </c>
      <c r="D70" s="129">
        <f t="shared" si="21"/>
        <v>-5859698.5906666666</v>
      </c>
      <c r="E70" s="129">
        <f t="shared" si="21"/>
        <v>-5859698.5906666666</v>
      </c>
      <c r="F70" s="129">
        <f t="shared" si="21"/>
        <v>-5859698.5906666666</v>
      </c>
      <c r="G70" s="129">
        <f t="shared" si="21"/>
        <v>-5859698.5906666666</v>
      </c>
      <c r="H70" s="129">
        <f t="shared" si="21"/>
        <v>-5859698.5906666666</v>
      </c>
      <c r="I70" s="129">
        <f t="shared" si="21"/>
        <v>-5859698.5906666666</v>
      </c>
      <c r="J70" s="129">
        <f t="shared" si="21"/>
        <v>-5859698.5906666666</v>
      </c>
      <c r="K70" s="129">
        <f t="shared" si="21"/>
        <v>-5859698.5906666666</v>
      </c>
      <c r="L70" s="129">
        <f t="shared" si="21"/>
        <v>-5859698.5906666666</v>
      </c>
      <c r="M70" s="129">
        <f t="shared" si="21"/>
        <v>-5859698.5906666666</v>
      </c>
      <c r="N70" s="129">
        <f t="shared" si="21"/>
        <v>-5859698.5906666666</v>
      </c>
      <c r="O70" s="129">
        <f t="shared" si="21"/>
        <v>-5859698.5906666666</v>
      </c>
      <c r="P70" s="129">
        <f t="shared" si="21"/>
        <v>-5859698.5906666666</v>
      </c>
      <c r="Q70" s="129">
        <f t="shared" si="21"/>
        <v>-5859698.5906666666</v>
      </c>
      <c r="R70" s="129">
        <f t="shared" si="21"/>
        <v>-5859698.5906666666</v>
      </c>
      <c r="S70" s="129">
        <f t="shared" si="21"/>
        <v>-5859698.5906666666</v>
      </c>
      <c r="T70" s="129">
        <f t="shared" si="21"/>
        <v>-5859698.5906666666</v>
      </c>
      <c r="U70" s="129">
        <f t="shared" si="21"/>
        <v>-5859698.5906666666</v>
      </c>
      <c r="V70" s="129">
        <f t="shared" si="21"/>
        <v>-5859698.5906666666</v>
      </c>
      <c r="W70" s="129">
        <f t="shared" si="21"/>
        <v>-5859698.5906666666</v>
      </c>
      <c r="X70" s="129">
        <f t="shared" si="21"/>
        <v>-5859698.5906666666</v>
      </c>
      <c r="Y70" s="129">
        <f t="shared" si="21"/>
        <v>-5859698.5906666666</v>
      </c>
      <c r="Z70" s="129">
        <f t="shared" si="21"/>
        <v>-5859698.5906666666</v>
      </c>
      <c r="AA70" s="129">
        <f t="shared" si="21"/>
        <v>-5859698.5906666666</v>
      </c>
      <c r="AB70" s="129">
        <f t="shared" si="21"/>
        <v>-5859698.5906666666</v>
      </c>
      <c r="AC70" s="129">
        <f t="shared" si="21"/>
        <v>-5859698.5906666666</v>
      </c>
      <c r="AD70" s="129">
        <f t="shared" si="21"/>
        <v>-5859698.5906666666</v>
      </c>
      <c r="AE70" s="129">
        <f t="shared" si="21"/>
        <v>-5859698.5906666666</v>
      </c>
      <c r="AF70" s="129">
        <f t="shared" si="21"/>
        <v>-27039845.109684646</v>
      </c>
      <c r="AG70" s="129">
        <f t="shared" si="21"/>
        <v>-27976197.781283073</v>
      </c>
      <c r="AH70" s="129">
        <f t="shared" si="21"/>
        <v>-28953945.649313319</v>
      </c>
      <c r="AI70" s="129">
        <f t="shared" si="21"/>
        <v>-29974918.753182124</v>
      </c>
      <c r="AJ70" s="129">
        <f t="shared" si="21"/>
        <v>-31041028.036471561</v>
      </c>
      <c r="AK70" s="129">
        <f t="shared" si="21"/>
        <v>-32154268.9236301</v>
      </c>
      <c r="AL70" s="129">
        <f t="shared" si="21"/>
        <v>-33316725.054785538</v>
      </c>
      <c r="AM70" s="129">
        <f t="shared" si="21"/>
        <v>-34530572.185670182</v>
      </c>
      <c r="AN70" s="129">
        <f t="shared" si="21"/>
        <v>-35798082.259957761</v>
      </c>
      <c r="AO70" s="129">
        <f t="shared" si="21"/>
        <v>-37121627.661634192</v>
      </c>
      <c r="AP70" s="129">
        <f>AP68+AP69</f>
        <v>-38503685.655361325</v>
      </c>
    </row>
    <row r="71" spans="1:103" x14ac:dyDescent="0.2">
      <c r="A71" s="130" t="s">
        <v>329</v>
      </c>
      <c r="B71" s="122">
        <f t="shared" ref="B71:AP71" si="22">-B70*$B$36</f>
        <v>-33958736.836666666</v>
      </c>
      <c r="C71" s="122">
        <f t="shared" si="22"/>
        <v>1171939.7181333334</v>
      </c>
      <c r="D71" s="122">
        <f t="shared" si="22"/>
        <v>1171939.7181333334</v>
      </c>
      <c r="E71" s="122">
        <f t="shared" si="22"/>
        <v>1171939.7181333334</v>
      </c>
      <c r="F71" s="122">
        <f t="shared" si="22"/>
        <v>1171939.7181333334</v>
      </c>
      <c r="G71" s="122">
        <f t="shared" si="22"/>
        <v>1171939.7181333334</v>
      </c>
      <c r="H71" s="122">
        <f t="shared" si="22"/>
        <v>1171939.7181333334</v>
      </c>
      <c r="I71" s="122">
        <f t="shared" si="22"/>
        <v>1171939.7181333334</v>
      </c>
      <c r="J71" s="122">
        <f t="shared" si="22"/>
        <v>1171939.7181333334</v>
      </c>
      <c r="K71" s="122">
        <f t="shared" si="22"/>
        <v>1171939.7181333334</v>
      </c>
      <c r="L71" s="122">
        <f t="shared" si="22"/>
        <v>1171939.7181333334</v>
      </c>
      <c r="M71" s="122">
        <f t="shared" si="22"/>
        <v>1171939.7181333334</v>
      </c>
      <c r="N71" s="122">
        <f t="shared" si="22"/>
        <v>1171939.7181333334</v>
      </c>
      <c r="O71" s="122">
        <f t="shared" si="22"/>
        <v>1171939.7181333334</v>
      </c>
      <c r="P71" s="122">
        <f t="shared" si="22"/>
        <v>1171939.7181333334</v>
      </c>
      <c r="Q71" s="122">
        <f t="shared" si="22"/>
        <v>1171939.7181333334</v>
      </c>
      <c r="R71" s="122">
        <f t="shared" si="22"/>
        <v>1171939.7181333334</v>
      </c>
      <c r="S71" s="122">
        <f t="shared" si="22"/>
        <v>1171939.7181333334</v>
      </c>
      <c r="T71" s="122">
        <f t="shared" si="22"/>
        <v>1171939.7181333334</v>
      </c>
      <c r="U71" s="122">
        <f t="shared" si="22"/>
        <v>1171939.7181333334</v>
      </c>
      <c r="V71" s="122">
        <f t="shared" si="22"/>
        <v>1171939.7181333334</v>
      </c>
      <c r="W71" s="122">
        <f t="shared" si="22"/>
        <v>1171939.7181333334</v>
      </c>
      <c r="X71" s="122">
        <f t="shared" si="22"/>
        <v>1171939.7181333334</v>
      </c>
      <c r="Y71" s="122">
        <f t="shared" si="22"/>
        <v>1171939.7181333334</v>
      </c>
      <c r="Z71" s="122">
        <f t="shared" si="22"/>
        <v>1171939.7181333334</v>
      </c>
      <c r="AA71" s="122">
        <f t="shared" si="22"/>
        <v>1171939.7181333334</v>
      </c>
      <c r="AB71" s="122">
        <f t="shared" si="22"/>
        <v>1171939.7181333334</v>
      </c>
      <c r="AC71" s="122">
        <f t="shared" si="22"/>
        <v>1171939.7181333334</v>
      </c>
      <c r="AD71" s="122">
        <f t="shared" si="22"/>
        <v>1171939.7181333334</v>
      </c>
      <c r="AE71" s="122">
        <f t="shared" si="22"/>
        <v>1171939.7181333334</v>
      </c>
      <c r="AF71" s="122">
        <f t="shared" si="22"/>
        <v>5407969.0219369298</v>
      </c>
      <c r="AG71" s="122">
        <f t="shared" si="22"/>
        <v>5595239.5562566146</v>
      </c>
      <c r="AH71" s="122">
        <f t="shared" si="22"/>
        <v>5790789.1298626643</v>
      </c>
      <c r="AI71" s="122">
        <f t="shared" si="22"/>
        <v>5994983.7506364249</v>
      </c>
      <c r="AJ71" s="122">
        <f t="shared" si="22"/>
        <v>6208205.6072943127</v>
      </c>
      <c r="AK71" s="122">
        <f t="shared" si="22"/>
        <v>6430853.7847260199</v>
      </c>
      <c r="AL71" s="122">
        <f t="shared" si="22"/>
        <v>6663345.0109571079</v>
      </c>
      <c r="AM71" s="122">
        <f t="shared" si="22"/>
        <v>6906114.4371340368</v>
      </c>
      <c r="AN71" s="122">
        <f t="shared" si="22"/>
        <v>7159616.4519915525</v>
      </c>
      <c r="AO71" s="122">
        <f t="shared" si="22"/>
        <v>7424325.5323268389</v>
      </c>
      <c r="AP71" s="122">
        <f t="shared" si="22"/>
        <v>7700737.1310722651</v>
      </c>
    </row>
    <row r="72" spans="1:103" ht="14.25" x14ac:dyDescent="0.2">
      <c r="A72" s="135" t="s">
        <v>359</v>
      </c>
      <c r="B72" s="136">
        <f t="shared" ref="B72:AO72" si="23">B70+B71</f>
        <v>135834947.34666666</v>
      </c>
      <c r="C72" s="136">
        <f t="shared" si="23"/>
        <v>-4687758.8725333335</v>
      </c>
      <c r="D72" s="136">
        <f t="shared" si="23"/>
        <v>-4687758.8725333335</v>
      </c>
      <c r="E72" s="136">
        <f t="shared" si="23"/>
        <v>-4687758.8725333335</v>
      </c>
      <c r="F72" s="136">
        <f t="shared" si="23"/>
        <v>-4687758.8725333335</v>
      </c>
      <c r="G72" s="136">
        <f t="shared" si="23"/>
        <v>-4687758.8725333335</v>
      </c>
      <c r="H72" s="136">
        <f t="shared" si="23"/>
        <v>-4687758.8725333335</v>
      </c>
      <c r="I72" s="136">
        <f t="shared" si="23"/>
        <v>-4687758.8725333335</v>
      </c>
      <c r="J72" s="136">
        <f t="shared" si="23"/>
        <v>-4687758.8725333335</v>
      </c>
      <c r="K72" s="136">
        <f t="shared" si="23"/>
        <v>-4687758.8725333335</v>
      </c>
      <c r="L72" s="136">
        <f t="shared" si="23"/>
        <v>-4687758.8725333335</v>
      </c>
      <c r="M72" s="136">
        <f t="shared" si="23"/>
        <v>-4687758.8725333335</v>
      </c>
      <c r="N72" s="136">
        <f t="shared" si="23"/>
        <v>-4687758.8725333335</v>
      </c>
      <c r="O72" s="136">
        <f t="shared" si="23"/>
        <v>-4687758.8725333335</v>
      </c>
      <c r="P72" s="136">
        <f t="shared" si="23"/>
        <v>-4687758.8725333335</v>
      </c>
      <c r="Q72" s="136">
        <f t="shared" si="23"/>
        <v>-4687758.8725333335</v>
      </c>
      <c r="R72" s="136">
        <f t="shared" si="23"/>
        <v>-4687758.8725333335</v>
      </c>
      <c r="S72" s="136">
        <f t="shared" si="23"/>
        <v>-4687758.8725333335</v>
      </c>
      <c r="T72" s="136">
        <f t="shared" si="23"/>
        <v>-4687758.8725333335</v>
      </c>
      <c r="U72" s="136">
        <f t="shared" si="23"/>
        <v>-4687758.8725333335</v>
      </c>
      <c r="V72" s="136">
        <f t="shared" si="23"/>
        <v>-4687758.8725333335</v>
      </c>
      <c r="W72" s="136">
        <f t="shared" si="23"/>
        <v>-4687758.8725333335</v>
      </c>
      <c r="X72" s="136">
        <f t="shared" si="23"/>
        <v>-4687758.8725333335</v>
      </c>
      <c r="Y72" s="136">
        <f t="shared" si="23"/>
        <v>-4687758.8725333335</v>
      </c>
      <c r="Z72" s="136">
        <f t="shared" si="23"/>
        <v>-4687758.8725333335</v>
      </c>
      <c r="AA72" s="136">
        <f t="shared" si="23"/>
        <v>-4687758.8725333335</v>
      </c>
      <c r="AB72" s="136">
        <f t="shared" si="23"/>
        <v>-4687758.8725333335</v>
      </c>
      <c r="AC72" s="136">
        <f t="shared" si="23"/>
        <v>-4687758.8725333335</v>
      </c>
      <c r="AD72" s="136">
        <f t="shared" si="23"/>
        <v>-4687758.8725333335</v>
      </c>
      <c r="AE72" s="136">
        <f t="shared" si="23"/>
        <v>-4687758.8725333335</v>
      </c>
      <c r="AF72" s="136">
        <f t="shared" si="23"/>
        <v>-21631876.087747715</v>
      </c>
      <c r="AG72" s="136">
        <f t="shared" si="23"/>
        <v>-22380958.225026459</v>
      </c>
      <c r="AH72" s="136">
        <f t="shared" si="23"/>
        <v>-23163156.519450657</v>
      </c>
      <c r="AI72" s="136">
        <f t="shared" si="23"/>
        <v>-23979935.002545699</v>
      </c>
      <c r="AJ72" s="136">
        <f t="shared" si="23"/>
        <v>-24832822.429177247</v>
      </c>
      <c r="AK72" s="136">
        <f t="shared" si="23"/>
        <v>-25723415.13890408</v>
      </c>
      <c r="AL72" s="136">
        <f t="shared" si="23"/>
        <v>-26653380.043828432</v>
      </c>
      <c r="AM72" s="136">
        <f t="shared" si="23"/>
        <v>-27624457.748536147</v>
      </c>
      <c r="AN72" s="136">
        <f t="shared" si="23"/>
        <v>-28638465.80796621</v>
      </c>
      <c r="AO72" s="136">
        <f t="shared" si="23"/>
        <v>-29697302.129307352</v>
      </c>
      <c r="AP72" s="136">
        <f>AP70+AP71</f>
        <v>-30802948.52428906</v>
      </c>
    </row>
    <row r="73" spans="1:103" s="125" customFormat="1" x14ac:dyDescent="0.2">
      <c r="A73" s="126"/>
      <c r="B73" s="137">
        <f>C141</f>
        <v>0.5</v>
      </c>
      <c r="C73" s="137">
        <f t="shared" ref="C73:BN73" si="24">D141</f>
        <v>1.5</v>
      </c>
      <c r="D73" s="137">
        <f t="shared" si="24"/>
        <v>2.5</v>
      </c>
      <c r="E73" s="137">
        <f t="shared" si="24"/>
        <v>3.5</v>
      </c>
      <c r="F73" s="137">
        <f t="shared" si="24"/>
        <v>4.5</v>
      </c>
      <c r="G73" s="137">
        <f t="shared" si="24"/>
        <v>5.5</v>
      </c>
      <c r="H73" s="137">
        <f t="shared" si="24"/>
        <v>6.5</v>
      </c>
      <c r="I73" s="137">
        <f t="shared" si="24"/>
        <v>7.5</v>
      </c>
      <c r="J73" s="137">
        <f t="shared" si="24"/>
        <v>8.5</v>
      </c>
      <c r="K73" s="137">
        <f t="shared" si="24"/>
        <v>9.5</v>
      </c>
      <c r="L73" s="137">
        <f t="shared" si="24"/>
        <v>10.5</v>
      </c>
      <c r="M73" s="137">
        <f t="shared" si="24"/>
        <v>11.5</v>
      </c>
      <c r="N73" s="137">
        <f t="shared" si="24"/>
        <v>12.5</v>
      </c>
      <c r="O73" s="137">
        <f t="shared" si="24"/>
        <v>13.5</v>
      </c>
      <c r="P73" s="137">
        <f t="shared" si="24"/>
        <v>14.5</v>
      </c>
      <c r="Q73" s="137">
        <f t="shared" si="24"/>
        <v>15.5</v>
      </c>
      <c r="R73" s="137">
        <f t="shared" si="24"/>
        <v>16.5</v>
      </c>
      <c r="S73" s="137">
        <f t="shared" si="24"/>
        <v>17.5</v>
      </c>
      <c r="T73" s="137">
        <f t="shared" si="24"/>
        <v>18.5</v>
      </c>
      <c r="U73" s="137">
        <f t="shared" si="24"/>
        <v>19.5</v>
      </c>
      <c r="V73" s="137">
        <f t="shared" si="24"/>
        <v>20.5</v>
      </c>
      <c r="W73" s="137">
        <f t="shared" si="24"/>
        <v>21.5</v>
      </c>
      <c r="X73" s="137">
        <f t="shared" si="24"/>
        <v>22.5</v>
      </c>
      <c r="Y73" s="137">
        <f t="shared" si="24"/>
        <v>23.5</v>
      </c>
      <c r="Z73" s="137">
        <f t="shared" si="24"/>
        <v>24.5</v>
      </c>
      <c r="AA73" s="137">
        <f t="shared" si="24"/>
        <v>25.5</v>
      </c>
      <c r="AB73" s="137">
        <f t="shared" si="24"/>
        <v>26.5</v>
      </c>
      <c r="AC73" s="137">
        <f t="shared" si="24"/>
        <v>27.5</v>
      </c>
      <c r="AD73" s="137">
        <f t="shared" si="24"/>
        <v>28.5</v>
      </c>
      <c r="AE73" s="137">
        <f t="shared" si="24"/>
        <v>29.5</v>
      </c>
      <c r="AF73" s="137">
        <f t="shared" si="24"/>
        <v>30.5</v>
      </c>
      <c r="AG73" s="137">
        <f t="shared" si="24"/>
        <v>31.5</v>
      </c>
      <c r="AH73" s="137">
        <f t="shared" si="24"/>
        <v>32.5</v>
      </c>
      <c r="AI73" s="137">
        <f t="shared" si="24"/>
        <v>33.5</v>
      </c>
      <c r="AJ73" s="137">
        <f t="shared" si="24"/>
        <v>34.5</v>
      </c>
      <c r="AK73" s="137">
        <f t="shared" si="24"/>
        <v>35.5</v>
      </c>
      <c r="AL73" s="137">
        <f t="shared" si="24"/>
        <v>36.5</v>
      </c>
      <c r="AM73" s="137">
        <f t="shared" si="24"/>
        <v>37.5</v>
      </c>
      <c r="AN73" s="137">
        <f t="shared" si="24"/>
        <v>38.5</v>
      </c>
      <c r="AO73" s="137">
        <f t="shared" si="24"/>
        <v>39.5</v>
      </c>
      <c r="AP73" s="137">
        <f t="shared" si="24"/>
        <v>40.5</v>
      </c>
      <c r="AQ73" s="137">
        <f t="shared" si="24"/>
        <v>41.5</v>
      </c>
      <c r="AR73" s="137">
        <f t="shared" si="24"/>
        <v>42.5</v>
      </c>
      <c r="AS73" s="137">
        <f t="shared" si="24"/>
        <v>43.5</v>
      </c>
      <c r="AT73" s="137">
        <f t="shared" si="24"/>
        <v>44.5</v>
      </c>
      <c r="AU73" s="137">
        <f t="shared" si="24"/>
        <v>45.5</v>
      </c>
      <c r="AV73" s="137">
        <f t="shared" si="24"/>
        <v>46.5</v>
      </c>
      <c r="AW73" s="137">
        <f t="shared" si="24"/>
        <v>47.5</v>
      </c>
      <c r="AX73" s="137">
        <f t="shared" si="24"/>
        <v>48.5</v>
      </c>
      <c r="AY73" s="137">
        <f t="shared" si="24"/>
        <v>0</v>
      </c>
      <c r="AZ73" s="137">
        <f t="shared" si="24"/>
        <v>0</v>
      </c>
      <c r="BA73" s="137">
        <f t="shared" si="24"/>
        <v>0</v>
      </c>
      <c r="BB73" s="137">
        <f t="shared" si="24"/>
        <v>0</v>
      </c>
      <c r="BC73" s="137">
        <f t="shared" si="24"/>
        <v>0</v>
      </c>
      <c r="BD73" s="137">
        <f t="shared" si="24"/>
        <v>0</v>
      </c>
      <c r="BE73" s="137">
        <f t="shared" si="24"/>
        <v>0</v>
      </c>
      <c r="BF73" s="137">
        <f t="shared" si="24"/>
        <v>0</v>
      </c>
      <c r="BG73" s="137">
        <f t="shared" si="24"/>
        <v>0</v>
      </c>
      <c r="BH73" s="137">
        <f t="shared" si="24"/>
        <v>0</v>
      </c>
      <c r="BI73" s="137">
        <f t="shared" si="24"/>
        <v>0</v>
      </c>
      <c r="BJ73" s="137">
        <f t="shared" si="24"/>
        <v>0</v>
      </c>
      <c r="BK73" s="137">
        <f t="shared" si="24"/>
        <v>0</v>
      </c>
      <c r="BL73" s="137">
        <f t="shared" si="24"/>
        <v>0</v>
      </c>
      <c r="BM73" s="137">
        <f t="shared" si="24"/>
        <v>0</v>
      </c>
      <c r="BN73" s="137">
        <f t="shared" si="24"/>
        <v>0</v>
      </c>
      <c r="BO73" s="137">
        <f t="shared" ref="BO73:CX73" si="25">BP141</f>
        <v>0</v>
      </c>
      <c r="BP73" s="137">
        <f t="shared" si="25"/>
        <v>0</v>
      </c>
      <c r="BQ73" s="137">
        <f t="shared" si="25"/>
        <v>0</v>
      </c>
      <c r="BR73" s="137">
        <f t="shared" si="25"/>
        <v>0</v>
      </c>
      <c r="BS73" s="137">
        <f t="shared" si="25"/>
        <v>0</v>
      </c>
      <c r="BT73" s="137">
        <f t="shared" si="25"/>
        <v>0</v>
      </c>
      <c r="BU73" s="137">
        <f t="shared" si="25"/>
        <v>0</v>
      </c>
      <c r="BV73" s="137">
        <f t="shared" si="25"/>
        <v>0</v>
      </c>
      <c r="BW73" s="137">
        <f t="shared" si="25"/>
        <v>0</v>
      </c>
      <c r="BX73" s="137">
        <f t="shared" si="25"/>
        <v>0</v>
      </c>
      <c r="BY73" s="137">
        <f t="shared" si="25"/>
        <v>0</v>
      </c>
      <c r="BZ73" s="137">
        <f t="shared" si="25"/>
        <v>0</v>
      </c>
      <c r="CA73" s="137">
        <f t="shared" si="25"/>
        <v>0</v>
      </c>
      <c r="CB73" s="137">
        <f t="shared" si="25"/>
        <v>0</v>
      </c>
      <c r="CC73" s="137">
        <f t="shared" si="25"/>
        <v>0</v>
      </c>
      <c r="CD73" s="137">
        <f t="shared" si="25"/>
        <v>0</v>
      </c>
      <c r="CE73" s="137">
        <f t="shared" si="25"/>
        <v>0</v>
      </c>
      <c r="CF73" s="137">
        <f t="shared" si="25"/>
        <v>0</v>
      </c>
      <c r="CG73" s="137">
        <f t="shared" si="25"/>
        <v>0</v>
      </c>
      <c r="CH73" s="137">
        <f t="shared" si="25"/>
        <v>0</v>
      </c>
      <c r="CI73" s="137">
        <f t="shared" si="25"/>
        <v>0</v>
      </c>
      <c r="CJ73" s="137">
        <f t="shared" si="25"/>
        <v>0</v>
      </c>
      <c r="CK73" s="137">
        <f t="shared" si="25"/>
        <v>0</v>
      </c>
      <c r="CL73" s="137">
        <f t="shared" si="25"/>
        <v>0</v>
      </c>
      <c r="CM73" s="137">
        <f t="shared" si="25"/>
        <v>0</v>
      </c>
      <c r="CN73" s="137">
        <f t="shared" si="25"/>
        <v>0</v>
      </c>
      <c r="CO73" s="137">
        <f t="shared" si="25"/>
        <v>0</v>
      </c>
      <c r="CP73" s="137">
        <f t="shared" si="25"/>
        <v>0</v>
      </c>
      <c r="CQ73" s="137">
        <f t="shared" si="25"/>
        <v>0</v>
      </c>
      <c r="CR73" s="137">
        <f t="shared" si="25"/>
        <v>0</v>
      </c>
      <c r="CS73" s="137">
        <f t="shared" si="25"/>
        <v>0</v>
      </c>
      <c r="CT73" s="137">
        <f t="shared" si="25"/>
        <v>0</v>
      </c>
      <c r="CU73" s="137">
        <f t="shared" si="25"/>
        <v>0</v>
      </c>
      <c r="CV73" s="137">
        <f t="shared" si="25"/>
        <v>0</v>
      </c>
      <c r="CW73" s="137">
        <f t="shared" si="25"/>
        <v>0</v>
      </c>
      <c r="CX73" s="137">
        <f t="shared" si="25"/>
        <v>0</v>
      </c>
      <c r="CY73" s="76"/>
    </row>
    <row r="74" spans="1:103" x14ac:dyDescent="0.2">
      <c r="A74" s="119" t="s">
        <v>360</v>
      </c>
      <c r="B74" s="120">
        <f t="shared" ref="B74:AO74" si="26">B58</f>
        <v>1</v>
      </c>
      <c r="C74" s="120">
        <f t="shared" si="26"/>
        <v>2</v>
      </c>
      <c r="D74" s="120">
        <f t="shared" si="26"/>
        <v>3</v>
      </c>
      <c r="E74" s="120">
        <f t="shared" si="26"/>
        <v>4</v>
      </c>
      <c r="F74" s="120">
        <f t="shared" si="26"/>
        <v>5</v>
      </c>
      <c r="G74" s="120">
        <f t="shared" si="26"/>
        <v>6</v>
      </c>
      <c r="H74" s="120">
        <f t="shared" si="26"/>
        <v>7</v>
      </c>
      <c r="I74" s="120">
        <f t="shared" si="26"/>
        <v>8</v>
      </c>
      <c r="J74" s="120">
        <f t="shared" si="26"/>
        <v>9</v>
      </c>
      <c r="K74" s="120">
        <f t="shared" si="26"/>
        <v>10</v>
      </c>
      <c r="L74" s="120">
        <f t="shared" si="26"/>
        <v>11</v>
      </c>
      <c r="M74" s="120">
        <f t="shared" si="26"/>
        <v>12</v>
      </c>
      <c r="N74" s="120">
        <f t="shared" si="26"/>
        <v>13</v>
      </c>
      <c r="O74" s="120">
        <f t="shared" si="26"/>
        <v>14</v>
      </c>
      <c r="P74" s="120">
        <f t="shared" si="26"/>
        <v>15</v>
      </c>
      <c r="Q74" s="120">
        <f t="shared" si="26"/>
        <v>16</v>
      </c>
      <c r="R74" s="120">
        <f t="shared" si="26"/>
        <v>17</v>
      </c>
      <c r="S74" s="120">
        <f t="shared" si="26"/>
        <v>18</v>
      </c>
      <c r="T74" s="120">
        <f t="shared" si="26"/>
        <v>19</v>
      </c>
      <c r="U74" s="120">
        <f t="shared" si="26"/>
        <v>20</v>
      </c>
      <c r="V74" s="120">
        <f t="shared" si="26"/>
        <v>21</v>
      </c>
      <c r="W74" s="120">
        <f t="shared" si="26"/>
        <v>22</v>
      </c>
      <c r="X74" s="120">
        <f t="shared" si="26"/>
        <v>23</v>
      </c>
      <c r="Y74" s="120">
        <f t="shared" si="26"/>
        <v>24</v>
      </c>
      <c r="Z74" s="120">
        <f t="shared" si="26"/>
        <v>25</v>
      </c>
      <c r="AA74" s="120">
        <f t="shared" si="26"/>
        <v>26</v>
      </c>
      <c r="AB74" s="120">
        <f t="shared" si="26"/>
        <v>27</v>
      </c>
      <c r="AC74" s="120">
        <f t="shared" si="26"/>
        <v>28</v>
      </c>
      <c r="AD74" s="120">
        <f t="shared" si="26"/>
        <v>29</v>
      </c>
      <c r="AE74" s="120">
        <f t="shared" si="26"/>
        <v>30</v>
      </c>
      <c r="AF74" s="120">
        <f t="shared" si="26"/>
        <v>31</v>
      </c>
      <c r="AG74" s="120">
        <f t="shared" si="26"/>
        <v>32</v>
      </c>
      <c r="AH74" s="120">
        <f t="shared" si="26"/>
        <v>33</v>
      </c>
      <c r="AI74" s="120">
        <f t="shared" si="26"/>
        <v>34</v>
      </c>
      <c r="AJ74" s="120">
        <f t="shared" si="26"/>
        <v>35</v>
      </c>
      <c r="AK74" s="120">
        <f t="shared" si="26"/>
        <v>36</v>
      </c>
      <c r="AL74" s="120">
        <f t="shared" si="26"/>
        <v>37</v>
      </c>
      <c r="AM74" s="120">
        <f t="shared" si="26"/>
        <v>38</v>
      </c>
      <c r="AN74" s="120">
        <f t="shared" si="26"/>
        <v>39</v>
      </c>
      <c r="AO74" s="120">
        <f t="shared" si="26"/>
        <v>40</v>
      </c>
      <c r="AP74" s="120">
        <f>AP58</f>
        <v>41</v>
      </c>
    </row>
    <row r="75" spans="1:103" ht="28.5" x14ac:dyDescent="0.2">
      <c r="A75" s="128" t="s">
        <v>356</v>
      </c>
      <c r="B75" s="129">
        <f t="shared" ref="B75:AO75" si="27">B68</f>
        <v>169793684.18333334</v>
      </c>
      <c r="C75" s="129">
        <f t="shared" si="27"/>
        <v>-5859698.5906666666</v>
      </c>
      <c r="D75" s="129">
        <f>D68</f>
        <v>-5859698.5906666666</v>
      </c>
      <c r="E75" s="129">
        <f t="shared" si="27"/>
        <v>-5859698.5906666666</v>
      </c>
      <c r="F75" s="129">
        <f t="shared" si="27"/>
        <v>-5859698.5906666666</v>
      </c>
      <c r="G75" s="129">
        <f t="shared" si="27"/>
        <v>-5859698.5906666666</v>
      </c>
      <c r="H75" s="129">
        <f t="shared" si="27"/>
        <v>-5859698.5906666666</v>
      </c>
      <c r="I75" s="129">
        <f t="shared" si="27"/>
        <v>-5859698.5906666666</v>
      </c>
      <c r="J75" s="129">
        <f t="shared" si="27"/>
        <v>-5859698.5906666666</v>
      </c>
      <c r="K75" s="129">
        <f t="shared" si="27"/>
        <v>-5859698.5906666666</v>
      </c>
      <c r="L75" s="129">
        <f t="shared" si="27"/>
        <v>-5859698.5906666666</v>
      </c>
      <c r="M75" s="129">
        <f t="shared" si="27"/>
        <v>-5859698.5906666666</v>
      </c>
      <c r="N75" s="129">
        <f t="shared" si="27"/>
        <v>-5859698.5906666666</v>
      </c>
      <c r="O75" s="129">
        <f t="shared" si="27"/>
        <v>-5859698.5906666666</v>
      </c>
      <c r="P75" s="129">
        <f t="shared" si="27"/>
        <v>-5859698.5906666666</v>
      </c>
      <c r="Q75" s="129">
        <f t="shared" si="27"/>
        <v>-5859698.5906666666</v>
      </c>
      <c r="R75" s="129">
        <f t="shared" si="27"/>
        <v>-5859698.5906666666</v>
      </c>
      <c r="S75" s="129">
        <f t="shared" si="27"/>
        <v>-5859698.5906666666</v>
      </c>
      <c r="T75" s="129">
        <f t="shared" si="27"/>
        <v>-5859698.5906666666</v>
      </c>
      <c r="U75" s="129">
        <f t="shared" si="27"/>
        <v>-5859698.5906666666</v>
      </c>
      <c r="V75" s="129">
        <f t="shared" si="27"/>
        <v>-5859698.5906666666</v>
      </c>
      <c r="W75" s="129">
        <f t="shared" si="27"/>
        <v>-5859698.5906666666</v>
      </c>
      <c r="X75" s="129">
        <f t="shared" si="27"/>
        <v>-5859698.5906666666</v>
      </c>
      <c r="Y75" s="129">
        <f t="shared" si="27"/>
        <v>-5859698.5906666666</v>
      </c>
      <c r="Z75" s="129">
        <f t="shared" si="27"/>
        <v>-5859698.5906666666</v>
      </c>
      <c r="AA75" s="129">
        <f t="shared" si="27"/>
        <v>-5859698.5906666666</v>
      </c>
      <c r="AB75" s="129">
        <f t="shared" si="27"/>
        <v>-5859698.5906666666</v>
      </c>
      <c r="AC75" s="129">
        <f t="shared" si="27"/>
        <v>-5859698.5906666666</v>
      </c>
      <c r="AD75" s="129">
        <f t="shared" si="27"/>
        <v>-5859698.5906666666</v>
      </c>
      <c r="AE75" s="129">
        <f t="shared" si="27"/>
        <v>-5859698.5906666666</v>
      </c>
      <c r="AF75" s="129">
        <f t="shared" si="27"/>
        <v>-27039845.109684646</v>
      </c>
      <c r="AG75" s="129">
        <f t="shared" si="27"/>
        <v>-27976197.781283073</v>
      </c>
      <c r="AH75" s="129">
        <f t="shared" si="27"/>
        <v>-28953945.649313319</v>
      </c>
      <c r="AI75" s="129">
        <f t="shared" si="27"/>
        <v>-29974918.753182124</v>
      </c>
      <c r="AJ75" s="129">
        <f t="shared" si="27"/>
        <v>-31041028.036471561</v>
      </c>
      <c r="AK75" s="129">
        <f t="shared" si="27"/>
        <v>-32154268.9236301</v>
      </c>
      <c r="AL75" s="129">
        <f t="shared" si="27"/>
        <v>-33316725.054785538</v>
      </c>
      <c r="AM75" s="129">
        <f t="shared" si="27"/>
        <v>-34530572.185670182</v>
      </c>
      <c r="AN75" s="129">
        <f t="shared" si="27"/>
        <v>-35798082.259957761</v>
      </c>
      <c r="AO75" s="129">
        <f t="shared" si="27"/>
        <v>-37121627.661634192</v>
      </c>
      <c r="AP75" s="129">
        <f>AP68</f>
        <v>-38503685.655361325</v>
      </c>
    </row>
    <row r="76" spans="1:103" x14ac:dyDescent="0.2">
      <c r="A76" s="130" t="s">
        <v>355</v>
      </c>
      <c r="B76" s="122">
        <f t="shared" ref="B76:AO76" si="28">-B67</f>
        <v>0</v>
      </c>
      <c r="C76" s="122">
        <f>-C67</f>
        <v>5859698.5906666666</v>
      </c>
      <c r="D76" s="122">
        <f t="shared" si="28"/>
        <v>5859698.5906666666</v>
      </c>
      <c r="E76" s="122">
        <f t="shared" si="28"/>
        <v>5859698.5906666666</v>
      </c>
      <c r="F76" s="122">
        <f>-C67</f>
        <v>5859698.5906666666</v>
      </c>
      <c r="G76" s="122">
        <f t="shared" si="28"/>
        <v>5859698.5906666666</v>
      </c>
      <c r="H76" s="122">
        <f t="shared" si="28"/>
        <v>5859698.5906666666</v>
      </c>
      <c r="I76" s="122">
        <f t="shared" si="28"/>
        <v>5859698.5906666666</v>
      </c>
      <c r="J76" s="122">
        <f t="shared" si="28"/>
        <v>5859698.5906666666</v>
      </c>
      <c r="K76" s="122">
        <f t="shared" si="28"/>
        <v>5859698.5906666666</v>
      </c>
      <c r="L76" s="122">
        <f>-L67</f>
        <v>5859698.5906666666</v>
      </c>
      <c r="M76" s="122">
        <f>-M67</f>
        <v>5859698.5906666666</v>
      </c>
      <c r="N76" s="122">
        <f t="shared" si="28"/>
        <v>5859698.5906666666</v>
      </c>
      <c r="O76" s="122">
        <f t="shared" si="28"/>
        <v>5859698.5906666666</v>
      </c>
      <c r="P76" s="122">
        <f t="shared" si="28"/>
        <v>5859698.5906666666</v>
      </c>
      <c r="Q76" s="122">
        <f t="shared" si="28"/>
        <v>5859698.5906666666</v>
      </c>
      <c r="R76" s="122">
        <f t="shared" si="28"/>
        <v>5859698.5906666666</v>
      </c>
      <c r="S76" s="122">
        <f t="shared" si="28"/>
        <v>5859698.5906666666</v>
      </c>
      <c r="T76" s="122">
        <f t="shared" si="28"/>
        <v>5859698.5906666666</v>
      </c>
      <c r="U76" s="122">
        <f t="shared" si="28"/>
        <v>5859698.5906666666</v>
      </c>
      <c r="V76" s="122">
        <f t="shared" si="28"/>
        <v>5859698.5906666666</v>
      </c>
      <c r="W76" s="122">
        <f t="shared" si="28"/>
        <v>5859698.5906666666</v>
      </c>
      <c r="X76" s="122">
        <f t="shared" si="28"/>
        <v>5859698.5906666666</v>
      </c>
      <c r="Y76" s="122">
        <f t="shared" si="28"/>
        <v>5859698.5906666666</v>
      </c>
      <c r="Z76" s="122">
        <f t="shared" si="28"/>
        <v>5859698.5906666666</v>
      </c>
      <c r="AA76" s="122">
        <f t="shared" si="28"/>
        <v>5859698.5906666666</v>
      </c>
      <c r="AB76" s="122">
        <f t="shared" si="28"/>
        <v>5859698.5906666666</v>
      </c>
      <c r="AC76" s="122">
        <f t="shared" si="28"/>
        <v>5859698.5906666666</v>
      </c>
      <c r="AD76" s="122">
        <f t="shared" si="28"/>
        <v>5859698.5906666666</v>
      </c>
      <c r="AE76" s="122">
        <f t="shared" si="28"/>
        <v>5859698.5906666666</v>
      </c>
      <c r="AF76" s="122">
        <f t="shared" si="28"/>
        <v>5859698.5906666666</v>
      </c>
      <c r="AG76" s="122">
        <f t="shared" si="28"/>
        <v>5859698.5906666666</v>
      </c>
      <c r="AH76" s="122">
        <f t="shared" si="28"/>
        <v>5859698.5906666666</v>
      </c>
      <c r="AI76" s="122">
        <f t="shared" si="28"/>
        <v>5859698.5906666666</v>
      </c>
      <c r="AJ76" s="122">
        <f t="shared" si="28"/>
        <v>5859698.5906666666</v>
      </c>
      <c r="AK76" s="122">
        <f t="shared" si="28"/>
        <v>5859698.5906666666</v>
      </c>
      <c r="AL76" s="122">
        <f t="shared" si="28"/>
        <v>5859698.5906666666</v>
      </c>
      <c r="AM76" s="122">
        <f t="shared" si="28"/>
        <v>5859698.5906666666</v>
      </c>
      <c r="AN76" s="122">
        <f t="shared" si="28"/>
        <v>5859698.5906666666</v>
      </c>
      <c r="AO76" s="122">
        <f t="shared" si="28"/>
        <v>5859698.5906666666</v>
      </c>
      <c r="AP76" s="122">
        <f>-AP67</f>
        <v>5859698.5906666666</v>
      </c>
    </row>
    <row r="77" spans="1:103" x14ac:dyDescent="0.2">
      <c r="A77" s="130" t="s">
        <v>357</v>
      </c>
      <c r="B77" s="122">
        <f t="shared" ref="B77:AO77" si="29">B69</f>
        <v>0</v>
      </c>
      <c r="C77" s="122">
        <f t="shared" si="29"/>
        <v>0</v>
      </c>
      <c r="D77" s="122">
        <f t="shared" si="29"/>
        <v>0</v>
      </c>
      <c r="E77" s="122">
        <f t="shared" si="29"/>
        <v>0</v>
      </c>
      <c r="F77" s="122">
        <f t="shared" si="29"/>
        <v>0</v>
      </c>
      <c r="G77" s="122">
        <f t="shared" si="29"/>
        <v>0</v>
      </c>
      <c r="H77" s="122">
        <f t="shared" si="29"/>
        <v>0</v>
      </c>
      <c r="I77" s="122">
        <f t="shared" si="29"/>
        <v>0</v>
      </c>
      <c r="J77" s="122">
        <f t="shared" si="29"/>
        <v>0</v>
      </c>
      <c r="K77" s="122">
        <f t="shared" si="29"/>
        <v>0</v>
      </c>
      <c r="L77" s="122">
        <f t="shared" si="29"/>
        <v>0</v>
      </c>
      <c r="M77" s="122">
        <f t="shared" si="29"/>
        <v>0</v>
      </c>
      <c r="N77" s="122">
        <f t="shared" si="29"/>
        <v>0</v>
      </c>
      <c r="O77" s="122">
        <f t="shared" si="29"/>
        <v>0</v>
      </c>
      <c r="P77" s="122">
        <f t="shared" si="29"/>
        <v>0</v>
      </c>
      <c r="Q77" s="122">
        <f t="shared" si="29"/>
        <v>0</v>
      </c>
      <c r="R77" s="122">
        <f t="shared" si="29"/>
        <v>0</v>
      </c>
      <c r="S77" s="122">
        <f t="shared" si="29"/>
        <v>0</v>
      </c>
      <c r="T77" s="122">
        <f t="shared" si="29"/>
        <v>0</v>
      </c>
      <c r="U77" s="122">
        <f t="shared" si="29"/>
        <v>0</v>
      </c>
      <c r="V77" s="122">
        <f t="shared" si="29"/>
        <v>0</v>
      </c>
      <c r="W77" s="122">
        <f t="shared" si="29"/>
        <v>0</v>
      </c>
      <c r="X77" s="122">
        <f t="shared" si="29"/>
        <v>0</v>
      </c>
      <c r="Y77" s="122">
        <f t="shared" si="29"/>
        <v>0</v>
      </c>
      <c r="Z77" s="122">
        <f t="shared" si="29"/>
        <v>0</v>
      </c>
      <c r="AA77" s="122">
        <f t="shared" si="29"/>
        <v>0</v>
      </c>
      <c r="AB77" s="122">
        <f t="shared" si="29"/>
        <v>0</v>
      </c>
      <c r="AC77" s="122">
        <f t="shared" si="29"/>
        <v>0</v>
      </c>
      <c r="AD77" s="122">
        <f t="shared" si="29"/>
        <v>0</v>
      </c>
      <c r="AE77" s="122">
        <f t="shared" si="29"/>
        <v>0</v>
      </c>
      <c r="AF77" s="122">
        <f t="shared" si="29"/>
        <v>0</v>
      </c>
      <c r="AG77" s="122">
        <f t="shared" si="29"/>
        <v>0</v>
      </c>
      <c r="AH77" s="122">
        <f t="shared" si="29"/>
        <v>0</v>
      </c>
      <c r="AI77" s="122">
        <f t="shared" si="29"/>
        <v>0</v>
      </c>
      <c r="AJ77" s="122">
        <f t="shared" si="29"/>
        <v>0</v>
      </c>
      <c r="AK77" s="122">
        <f t="shared" si="29"/>
        <v>0</v>
      </c>
      <c r="AL77" s="122">
        <f t="shared" si="29"/>
        <v>0</v>
      </c>
      <c r="AM77" s="122">
        <f t="shared" si="29"/>
        <v>0</v>
      </c>
      <c r="AN77" s="122">
        <f t="shared" si="29"/>
        <v>0</v>
      </c>
      <c r="AO77" s="122">
        <f t="shared" si="29"/>
        <v>0</v>
      </c>
      <c r="AP77" s="122">
        <f>AP69</f>
        <v>0</v>
      </c>
    </row>
    <row r="78" spans="1:103" x14ac:dyDescent="0.2">
      <c r="A78" s="130" t="s">
        <v>329</v>
      </c>
      <c r="B78" s="122">
        <f>IF(SUM($B$71:B71)+SUM($A$78:A78)&gt;0,0,SUM($B$71:B71)-SUM($A$78:A78))</f>
        <v>-33958736.836666666</v>
      </c>
      <c r="C78" s="122">
        <f>IF(SUM($B$71:C71)+SUM($A$78:B78)&gt;0,0,SUM($B$71:C71)-SUM($A$78:B78))</f>
        <v>1171939.7181333341</v>
      </c>
      <c r="D78" s="122">
        <f>IF(SUM($B$71:D71)+SUM($A$78:C78)&gt;0,0,SUM($B$71:D71)-SUM($A$78:C78))</f>
        <v>1171939.7181333341</v>
      </c>
      <c r="E78" s="122">
        <f>IF(SUM($B$71:E71)+SUM($A$78:D78)&gt;0,0,SUM($B$71:E71)-SUM($A$78:D78))</f>
        <v>1171939.7181333341</v>
      </c>
      <c r="F78" s="122">
        <f>IF(SUM($B$71:F71)+SUM($A$78:E78)&gt;0,0,SUM($B$71:F71)-SUM($A$78:E78))</f>
        <v>1171939.7181333341</v>
      </c>
      <c r="G78" s="122">
        <f>IF(SUM($B$71:G71)+SUM($A$78:F78)&gt;0,0,SUM($B$71:G71)-SUM($A$78:F78))</f>
        <v>1171939.7181333341</v>
      </c>
      <c r="H78" s="122">
        <f>IF(SUM($B$71:H71)+SUM($A$78:G78)&gt;0,0,SUM($B$71:H71)-SUM($A$78:G78))</f>
        <v>1171939.7181333341</v>
      </c>
      <c r="I78" s="122">
        <f>IF(SUM($B$71:I71)+SUM($A$78:H78)&gt;0,0,SUM($B$71:I71)-SUM($A$78:H78))</f>
        <v>1171939.7181333341</v>
      </c>
      <c r="J78" s="122">
        <f>IF(SUM($B$71:J71)+SUM($A$78:I78)&gt;0,0,SUM($B$71:J71)-SUM($A$78:I78))</f>
        <v>1171939.7181333341</v>
      </c>
      <c r="K78" s="122">
        <f>IF(SUM($B$71:K71)+SUM($A$78:J78)&gt;0,0,SUM($B$71:K71)-SUM($A$78:J78))</f>
        <v>1171939.7181333341</v>
      </c>
      <c r="L78" s="122">
        <f>IF(SUM($B$71:L71)+SUM($A$78:K78)&gt;0,0,SUM($B$71:L71)-SUM($A$78:K78))</f>
        <v>1171939.7181333341</v>
      </c>
      <c r="M78" s="122">
        <f>IF(SUM($B$71:M71)+SUM($A$78:L78)&gt;0,0,SUM($B$71:M71)-SUM($A$78:L78))</f>
        <v>1171939.7181333341</v>
      </c>
      <c r="N78" s="122">
        <f>IF(SUM($B$71:N71)+SUM($A$78:M78)&gt;0,0,SUM($B$71:N71)-SUM($A$78:M78))</f>
        <v>1171939.7181333341</v>
      </c>
      <c r="O78" s="122">
        <f>IF(SUM($B$71:O71)+SUM($A$78:N78)&gt;0,0,SUM($B$71:O71)-SUM($A$78:N78))</f>
        <v>1171939.7181333341</v>
      </c>
      <c r="P78" s="122">
        <f>IF(SUM($B$71:P71)+SUM($A$78:O78)&gt;0,0,SUM($B$71:P71)-SUM($A$78:O78))</f>
        <v>1171939.7181333341</v>
      </c>
      <c r="Q78" s="122">
        <f>IF(SUM($B$71:Q71)+SUM($A$78:P78)&gt;0,0,SUM($B$71:Q71)-SUM($A$78:P78))</f>
        <v>1171939.7181333341</v>
      </c>
      <c r="R78" s="122">
        <f>IF(SUM($B$71:R71)+SUM($A$78:Q78)&gt;0,0,SUM($B$71:R71)-SUM($A$78:Q78))</f>
        <v>1171939.7181333341</v>
      </c>
      <c r="S78" s="122">
        <f>IF(SUM($B$71:S71)+SUM($A$78:R78)&gt;0,0,SUM($B$71:S71)-SUM($A$78:R78))</f>
        <v>1171939.7181333341</v>
      </c>
      <c r="T78" s="122">
        <f>IF(SUM($B$71:T71)+SUM($A$78:S78)&gt;0,0,SUM($B$71:T71)-SUM($A$78:S78))</f>
        <v>1171939.7181333341</v>
      </c>
      <c r="U78" s="122">
        <f>IF(SUM($B$71:U71)+SUM($A$78:T78)&gt;0,0,SUM($B$71:U71)-SUM($A$78:T78))</f>
        <v>1171939.7181333341</v>
      </c>
      <c r="V78" s="122">
        <f>IF(SUM($B$71:V71)+SUM($A$78:U78)&gt;0,0,SUM($B$71:V71)-SUM($A$78:U78))</f>
        <v>1171939.7181333341</v>
      </c>
      <c r="W78" s="122">
        <f>IF(SUM($B$71:W71)+SUM($A$78:V78)&gt;0,0,SUM($B$71:W71)-SUM($A$78:V78))</f>
        <v>1171939.7181333341</v>
      </c>
      <c r="X78" s="122">
        <f>IF(SUM($B$71:X71)+SUM($A$78:W78)&gt;0,0,SUM($B$71:X71)-SUM($A$78:W78))</f>
        <v>1171939.7181333331</v>
      </c>
      <c r="Y78" s="122">
        <f>IF(SUM($B$71:Y71)+SUM($A$78:X78)&gt;0,0,SUM($B$71:Y71)-SUM($A$78:X78))</f>
        <v>1171939.7181333331</v>
      </c>
      <c r="Z78" s="122">
        <f>IF(SUM($B$71:Z71)+SUM($A$78:Y78)&gt;0,0,SUM($B$71:Z71)-SUM($A$78:Y78))</f>
        <v>1171939.7181333331</v>
      </c>
      <c r="AA78" s="122">
        <f>IF(SUM($B$71:AA71)+SUM($A$78:Z78)&gt;0,0,SUM($B$71:AA71)-SUM($A$78:Z78))</f>
        <v>1171939.7181333331</v>
      </c>
      <c r="AB78" s="122">
        <f>IF(SUM($B$71:AB71)+SUM($A$78:AA78)&gt;0,0,SUM($B$71:AB71)-SUM($A$78:AA78))</f>
        <v>1171939.7181333331</v>
      </c>
      <c r="AC78" s="122">
        <f>IF(SUM($B$71:AC71)+SUM($A$78:AB78)&gt;0,0,SUM($B$71:AC71)-SUM($A$78:AB78))</f>
        <v>1171939.7181333331</v>
      </c>
      <c r="AD78" s="122">
        <f>IF(SUM($B$71:AD71)+SUM($A$78:AC78)&gt;0,0,SUM($B$71:AD71)-SUM($A$78:AC78))</f>
        <v>1171939.7181333334</v>
      </c>
      <c r="AE78" s="122">
        <f>IF(SUM($B$71:AE71)+SUM($A$78:AD78)&gt;0,0,SUM($B$71:AE71)-SUM($A$78:AD78))</f>
        <v>1171939.7181333334</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103" x14ac:dyDescent="0.2">
      <c r="A79" s="130" t="s">
        <v>361</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103" x14ac:dyDescent="0.2">
      <c r="A80" s="130" t="s">
        <v>362</v>
      </c>
      <c r="B80" s="122">
        <f>-B59*(B39)</f>
        <v>0</v>
      </c>
      <c r="C80" s="122">
        <f t="shared" ref="C80:AP80" si="30">-(C59-B59)*$B$39</f>
        <v>0</v>
      </c>
      <c r="D80" s="122">
        <f t="shared" si="30"/>
        <v>0</v>
      </c>
      <c r="E80" s="122">
        <f t="shared" si="30"/>
        <v>0</v>
      </c>
      <c r="F80" s="122">
        <f t="shared" si="30"/>
        <v>0</v>
      </c>
      <c r="G80" s="122">
        <f t="shared" si="30"/>
        <v>0</v>
      </c>
      <c r="H80" s="122">
        <f t="shared" si="30"/>
        <v>0</v>
      </c>
      <c r="I80" s="122">
        <f t="shared" si="30"/>
        <v>0</v>
      </c>
      <c r="J80" s="122">
        <f t="shared" si="30"/>
        <v>0</v>
      </c>
      <c r="K80" s="122">
        <f t="shared" si="30"/>
        <v>0</v>
      </c>
      <c r="L80" s="122">
        <f t="shared" si="30"/>
        <v>0</v>
      </c>
      <c r="M80" s="122">
        <f t="shared" si="30"/>
        <v>0</v>
      </c>
      <c r="N80" s="122">
        <f t="shared" si="30"/>
        <v>0</v>
      </c>
      <c r="O80" s="122">
        <f t="shared" si="30"/>
        <v>0</v>
      </c>
      <c r="P80" s="122">
        <f t="shared" si="30"/>
        <v>0</v>
      </c>
      <c r="Q80" s="122">
        <f t="shared" si="30"/>
        <v>0</v>
      </c>
      <c r="R80" s="122">
        <f t="shared" si="30"/>
        <v>0</v>
      </c>
      <c r="S80" s="122">
        <f t="shared" si="30"/>
        <v>0</v>
      </c>
      <c r="T80" s="122">
        <f t="shared" si="30"/>
        <v>0</v>
      </c>
      <c r="U80" s="122">
        <f t="shared" si="30"/>
        <v>0</v>
      </c>
      <c r="V80" s="122">
        <f t="shared" si="30"/>
        <v>0</v>
      </c>
      <c r="W80" s="122">
        <f t="shared" si="30"/>
        <v>0</v>
      </c>
      <c r="X80" s="122">
        <f t="shared" si="30"/>
        <v>0</v>
      </c>
      <c r="Y80" s="122">
        <f t="shared" si="30"/>
        <v>0</v>
      </c>
      <c r="Z80" s="122">
        <f t="shared" si="30"/>
        <v>0</v>
      </c>
      <c r="AA80" s="122">
        <f t="shared" si="30"/>
        <v>0</v>
      </c>
      <c r="AB80" s="122">
        <f t="shared" si="30"/>
        <v>0</v>
      </c>
      <c r="AC80" s="122">
        <f t="shared" si="30"/>
        <v>0</v>
      </c>
      <c r="AD80" s="122">
        <f t="shared" si="30"/>
        <v>0</v>
      </c>
      <c r="AE80" s="122">
        <f t="shared" si="30"/>
        <v>0</v>
      </c>
      <c r="AF80" s="122">
        <f t="shared" si="30"/>
        <v>0</v>
      </c>
      <c r="AG80" s="122">
        <f t="shared" si="30"/>
        <v>0</v>
      </c>
      <c r="AH80" s="122">
        <f t="shared" si="30"/>
        <v>0</v>
      </c>
      <c r="AI80" s="122">
        <f t="shared" si="30"/>
        <v>0</v>
      </c>
      <c r="AJ80" s="122">
        <f t="shared" si="30"/>
        <v>0</v>
      </c>
      <c r="AK80" s="122">
        <f t="shared" si="30"/>
        <v>0</v>
      </c>
      <c r="AL80" s="122">
        <f t="shared" si="30"/>
        <v>0</v>
      </c>
      <c r="AM80" s="122">
        <f t="shared" si="30"/>
        <v>0</v>
      </c>
      <c r="AN80" s="122">
        <f t="shared" si="30"/>
        <v>0</v>
      </c>
      <c r="AO80" s="122">
        <f t="shared" si="30"/>
        <v>0</v>
      </c>
      <c r="AP80" s="122">
        <f t="shared" si="30"/>
        <v>0</v>
      </c>
    </row>
    <row r="81" spans="1:44" x14ac:dyDescent="0.2">
      <c r="A81" s="130" t="s">
        <v>680</v>
      </c>
      <c r="B81" s="122">
        <f>'6.2. Паспорт фин осв ввод'!J30*-1*1000000</f>
        <v>-175790957.72</v>
      </c>
      <c r="C81" s="122">
        <v>0</v>
      </c>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-175790957.72</v>
      </c>
      <c r="AR81" s="134"/>
    </row>
    <row r="82" spans="1:44" x14ac:dyDescent="0.2">
      <c r="A82" s="130" t="s">
        <v>363</v>
      </c>
      <c r="B82" s="122">
        <f t="shared" ref="B82:AO82" si="31">B54-B55</f>
        <v>0</v>
      </c>
      <c r="C82" s="122">
        <f t="shared" si="31"/>
        <v>0</v>
      </c>
      <c r="D82" s="122">
        <f t="shared" si="31"/>
        <v>0</v>
      </c>
      <c r="E82" s="122">
        <f t="shared" si="31"/>
        <v>0</v>
      </c>
      <c r="F82" s="122">
        <f t="shared" si="31"/>
        <v>0</v>
      </c>
      <c r="G82" s="122">
        <f t="shared" si="31"/>
        <v>0</v>
      </c>
      <c r="H82" s="122">
        <f t="shared" si="31"/>
        <v>0</v>
      </c>
      <c r="I82" s="122">
        <f t="shared" si="31"/>
        <v>0</v>
      </c>
      <c r="J82" s="122">
        <f t="shared" si="31"/>
        <v>0</v>
      </c>
      <c r="K82" s="122">
        <f t="shared" si="31"/>
        <v>0</v>
      </c>
      <c r="L82" s="122">
        <f t="shared" si="31"/>
        <v>0</v>
      </c>
      <c r="M82" s="122">
        <f t="shared" si="31"/>
        <v>0</v>
      </c>
      <c r="N82" s="122">
        <f t="shared" si="31"/>
        <v>0</v>
      </c>
      <c r="O82" s="122">
        <f t="shared" si="31"/>
        <v>0</v>
      </c>
      <c r="P82" s="122">
        <f t="shared" si="31"/>
        <v>0</v>
      </c>
      <c r="Q82" s="122">
        <f t="shared" si="31"/>
        <v>0</v>
      </c>
      <c r="R82" s="122">
        <f t="shared" si="31"/>
        <v>0</v>
      </c>
      <c r="S82" s="122">
        <f t="shared" si="31"/>
        <v>0</v>
      </c>
      <c r="T82" s="122">
        <f t="shared" si="31"/>
        <v>0</v>
      </c>
      <c r="U82" s="122">
        <f t="shared" si="31"/>
        <v>0</v>
      </c>
      <c r="V82" s="122">
        <f t="shared" si="31"/>
        <v>0</v>
      </c>
      <c r="W82" s="122">
        <f t="shared" si="31"/>
        <v>0</v>
      </c>
      <c r="X82" s="122">
        <f t="shared" si="31"/>
        <v>0</v>
      </c>
      <c r="Y82" s="122">
        <f t="shared" si="31"/>
        <v>0</v>
      </c>
      <c r="Z82" s="122">
        <f t="shared" si="31"/>
        <v>0</v>
      </c>
      <c r="AA82" s="122">
        <f t="shared" si="31"/>
        <v>0</v>
      </c>
      <c r="AB82" s="122">
        <f t="shared" si="31"/>
        <v>0</v>
      </c>
      <c r="AC82" s="122">
        <f t="shared" si="31"/>
        <v>0</v>
      </c>
      <c r="AD82" s="122">
        <f t="shared" si="31"/>
        <v>0</v>
      </c>
      <c r="AE82" s="122">
        <f t="shared" si="31"/>
        <v>0</v>
      </c>
      <c r="AF82" s="122">
        <f t="shared" si="31"/>
        <v>0</v>
      </c>
      <c r="AG82" s="122">
        <f t="shared" si="31"/>
        <v>0</v>
      </c>
      <c r="AH82" s="122">
        <f t="shared" si="31"/>
        <v>0</v>
      </c>
      <c r="AI82" s="122">
        <f t="shared" si="31"/>
        <v>0</v>
      </c>
      <c r="AJ82" s="122">
        <f t="shared" si="31"/>
        <v>0</v>
      </c>
      <c r="AK82" s="122">
        <f t="shared" si="31"/>
        <v>0</v>
      </c>
      <c r="AL82" s="122">
        <f t="shared" si="31"/>
        <v>0</v>
      </c>
      <c r="AM82" s="122">
        <f t="shared" si="31"/>
        <v>0</v>
      </c>
      <c r="AN82" s="122">
        <f t="shared" si="31"/>
        <v>0</v>
      </c>
      <c r="AO82" s="122">
        <f t="shared" si="31"/>
        <v>0</v>
      </c>
      <c r="AP82" s="122">
        <f>AP54-AP55</f>
        <v>0</v>
      </c>
    </row>
    <row r="83" spans="1:44" ht="14.25" x14ac:dyDescent="0.2">
      <c r="A83" s="131" t="s">
        <v>364</v>
      </c>
      <c r="B83" s="129">
        <f>SUM(B75:B82)</f>
        <v>-39956010.373333335</v>
      </c>
      <c r="C83" s="129">
        <f t="shared" ref="C83:V83" si="32">SUM(C75:C82)</f>
        <v>1171939.7181333341</v>
      </c>
      <c r="D83" s="129">
        <f t="shared" si="32"/>
        <v>1171939.7181333341</v>
      </c>
      <c r="E83" s="129">
        <f t="shared" si="32"/>
        <v>1171939.7181333341</v>
      </c>
      <c r="F83" s="129">
        <f t="shared" si="32"/>
        <v>1171939.7181333341</v>
      </c>
      <c r="G83" s="129">
        <f t="shared" si="32"/>
        <v>1171939.7181333341</v>
      </c>
      <c r="H83" s="129">
        <f t="shared" si="32"/>
        <v>1171939.7181333341</v>
      </c>
      <c r="I83" s="129">
        <f t="shared" si="32"/>
        <v>1171939.7181333341</v>
      </c>
      <c r="J83" s="129">
        <f t="shared" si="32"/>
        <v>1171939.7181333341</v>
      </c>
      <c r="K83" s="129">
        <f t="shared" si="32"/>
        <v>1171939.7181333341</v>
      </c>
      <c r="L83" s="129">
        <f t="shared" si="32"/>
        <v>1171939.7181333341</v>
      </c>
      <c r="M83" s="129">
        <f t="shared" si="32"/>
        <v>1171939.7181333341</v>
      </c>
      <c r="N83" s="129">
        <f t="shared" si="32"/>
        <v>1171939.7181333341</v>
      </c>
      <c r="O83" s="129">
        <f t="shared" si="32"/>
        <v>1171939.7181333341</v>
      </c>
      <c r="P83" s="129">
        <f t="shared" si="32"/>
        <v>1171939.7181333341</v>
      </c>
      <c r="Q83" s="129">
        <f t="shared" si="32"/>
        <v>1171939.7181333341</v>
      </c>
      <c r="R83" s="129">
        <f t="shared" si="32"/>
        <v>1171939.7181333341</v>
      </c>
      <c r="S83" s="129">
        <f t="shared" si="32"/>
        <v>1171939.7181333341</v>
      </c>
      <c r="T83" s="129">
        <f t="shared" si="32"/>
        <v>1171939.7181333341</v>
      </c>
      <c r="U83" s="129">
        <f t="shared" si="32"/>
        <v>1171939.7181333341</v>
      </c>
      <c r="V83" s="129">
        <f t="shared" si="32"/>
        <v>1171939.7181333341</v>
      </c>
      <c r="W83" s="129">
        <f>SUM(W75:W82)</f>
        <v>1171939.7181333341</v>
      </c>
      <c r="X83" s="129">
        <f>SUM(X75:X82)</f>
        <v>1171939.7181333331</v>
      </c>
      <c r="Y83" s="129">
        <f>SUM(Y75:Y82)</f>
        <v>1171939.7181333331</v>
      </c>
      <c r="Z83" s="129">
        <f>SUM(Z75:Z82)</f>
        <v>1171939.7181333331</v>
      </c>
      <c r="AA83" s="129">
        <f t="shared" ref="AA83:AP83" si="33">SUM(AA75:AA82)</f>
        <v>1171939.7181333331</v>
      </c>
      <c r="AB83" s="129">
        <f t="shared" si="33"/>
        <v>1171939.7181333331</v>
      </c>
      <c r="AC83" s="129">
        <f t="shared" si="33"/>
        <v>1171939.7181333331</v>
      </c>
      <c r="AD83" s="129">
        <f t="shared" si="33"/>
        <v>1171939.7181333334</v>
      </c>
      <c r="AE83" s="129">
        <f t="shared" si="33"/>
        <v>1171939.7181333334</v>
      </c>
      <c r="AF83" s="129">
        <f t="shared" si="33"/>
        <v>-21180146.51901798</v>
      </c>
      <c r="AG83" s="129">
        <f t="shared" si="33"/>
        <v>-22116499.190616407</v>
      </c>
      <c r="AH83" s="129">
        <f t="shared" si="33"/>
        <v>-23094247.058646653</v>
      </c>
      <c r="AI83" s="129">
        <f t="shared" si="33"/>
        <v>-24115220.162515458</v>
      </c>
      <c r="AJ83" s="129">
        <f t="shared" si="33"/>
        <v>-25181329.445804894</v>
      </c>
      <c r="AK83" s="129">
        <f t="shared" si="33"/>
        <v>-26294570.332963433</v>
      </c>
      <c r="AL83" s="129">
        <f t="shared" si="33"/>
        <v>-27457026.464118872</v>
      </c>
      <c r="AM83" s="129">
        <f t="shared" si="33"/>
        <v>-28670873.595003515</v>
      </c>
      <c r="AN83" s="129">
        <f t="shared" si="33"/>
        <v>-29938383.669291094</v>
      </c>
      <c r="AO83" s="129">
        <f t="shared" si="33"/>
        <v>-31261929.070967525</v>
      </c>
      <c r="AP83" s="129">
        <f t="shared" si="33"/>
        <v>-32643987.064694658</v>
      </c>
    </row>
    <row r="84" spans="1:44" ht="14.25" x14ac:dyDescent="0.2">
      <c r="A84" s="131" t="s">
        <v>365</v>
      </c>
      <c r="B84" s="129">
        <f>SUM($B$83:B83)</f>
        <v>-39956010.373333335</v>
      </c>
      <c r="C84" s="129">
        <f>SUM($B$83:C83)</f>
        <v>-38784070.655200005</v>
      </c>
      <c r="D84" s="129">
        <f>SUM($B$83:D83)</f>
        <v>-37612130.937066674</v>
      </c>
      <c r="E84" s="129">
        <f>SUM($B$83:E83)</f>
        <v>-36440191.218933344</v>
      </c>
      <c r="F84" s="129">
        <f>SUM($B$83:F83)</f>
        <v>-35268251.500800014</v>
      </c>
      <c r="G84" s="129">
        <f>SUM($B$83:G83)</f>
        <v>-34096311.782666683</v>
      </c>
      <c r="H84" s="129">
        <f>SUM($B$83:H83)</f>
        <v>-32924372.064533349</v>
      </c>
      <c r="I84" s="129">
        <f>SUM($B$83:I83)</f>
        <v>-31752432.346400015</v>
      </c>
      <c r="J84" s="129">
        <f>SUM($B$83:J83)</f>
        <v>-30580492.628266681</v>
      </c>
      <c r="K84" s="129">
        <f>SUM($B$83:K83)</f>
        <v>-29408552.910133347</v>
      </c>
      <c r="L84" s="129">
        <f>SUM($B$83:L83)</f>
        <v>-28236613.192000013</v>
      </c>
      <c r="M84" s="129">
        <f>SUM($B$83:M83)</f>
        <v>-27064673.473866679</v>
      </c>
      <c r="N84" s="129">
        <f>SUM($B$83:N83)</f>
        <v>-25892733.755733345</v>
      </c>
      <c r="O84" s="129">
        <f>SUM($B$83:O83)</f>
        <v>-24720794.037600011</v>
      </c>
      <c r="P84" s="129">
        <f>SUM($B$83:P83)</f>
        <v>-23548854.319466677</v>
      </c>
      <c r="Q84" s="129">
        <f>SUM($B$83:Q83)</f>
        <v>-22376914.601333342</v>
      </c>
      <c r="R84" s="129">
        <f>SUM($B$83:R83)</f>
        <v>-21204974.883200008</v>
      </c>
      <c r="S84" s="129">
        <f>SUM($B$83:S83)</f>
        <v>-20033035.165066674</v>
      </c>
      <c r="T84" s="129">
        <f>SUM($B$83:T83)</f>
        <v>-18861095.44693334</v>
      </c>
      <c r="U84" s="129">
        <f>SUM($B$83:U83)</f>
        <v>-17689155.728800006</v>
      </c>
      <c r="V84" s="129">
        <f>SUM($B$83:V83)</f>
        <v>-16517216.010666672</v>
      </c>
      <c r="W84" s="129">
        <f>SUM($B$83:W83)</f>
        <v>-15345276.292533338</v>
      </c>
      <c r="X84" s="129">
        <f>SUM($B$83:X83)</f>
        <v>-14173336.574400004</v>
      </c>
      <c r="Y84" s="129">
        <f>SUM($B$83:Y83)</f>
        <v>-13001396.85626667</v>
      </c>
      <c r="Z84" s="129">
        <f>SUM($B$83:Z83)</f>
        <v>-11829457.138133336</v>
      </c>
      <c r="AA84" s="129">
        <f>SUM($B$83:AA83)</f>
        <v>-10657517.420000002</v>
      </c>
      <c r="AB84" s="129">
        <f>SUM($B$83:AB83)</f>
        <v>-9485577.7018666677</v>
      </c>
      <c r="AC84" s="129">
        <f>SUM($B$83:AC83)</f>
        <v>-8313637.9837333346</v>
      </c>
      <c r="AD84" s="129">
        <f>SUM($B$83:AD83)</f>
        <v>-7141698.2656000014</v>
      </c>
      <c r="AE84" s="129">
        <f>SUM($B$83:AE83)</f>
        <v>-5969758.5474666683</v>
      </c>
      <c r="AF84" s="129">
        <f>SUM($B$83:AF83)</f>
        <v>-27149905.066484649</v>
      </c>
      <c r="AG84" s="129">
        <f>SUM($B$83:AG83)</f>
        <v>-49266404.257101059</v>
      </c>
      <c r="AH84" s="129">
        <f>SUM($B$83:AH83)</f>
        <v>-72360651.315747708</v>
      </c>
      <c r="AI84" s="129">
        <f>SUM($B$83:AI83)</f>
        <v>-96475871.47826317</v>
      </c>
      <c r="AJ84" s="129">
        <f>SUM($B$83:AJ83)</f>
        <v>-121657200.92406806</v>
      </c>
      <c r="AK84" s="129">
        <f>SUM($B$83:AK83)</f>
        <v>-147951771.2570315</v>
      </c>
      <c r="AL84" s="129">
        <f>SUM($B$83:AL83)</f>
        <v>-175408797.72115037</v>
      </c>
      <c r="AM84" s="129">
        <f>SUM($B$83:AM83)</f>
        <v>-204079671.31615388</v>
      </c>
      <c r="AN84" s="129">
        <f>SUM($B$83:AN83)</f>
        <v>-234018054.98544496</v>
      </c>
      <c r="AO84" s="129">
        <f>SUM($B$83:AO83)</f>
        <v>-265279984.05641249</v>
      </c>
      <c r="AP84" s="129">
        <f>SUM($B$83:AP83)</f>
        <v>-297923971.12110716</v>
      </c>
    </row>
    <row r="85" spans="1:44" x14ac:dyDescent="0.2">
      <c r="A85" s="130" t="s">
        <v>366</v>
      </c>
      <c r="B85" s="138">
        <f t="shared" ref="B85:AP85" si="34">1/POWER((1+$B$44),B73)</f>
        <v>0.93777936065805434</v>
      </c>
      <c r="C85" s="138">
        <f t="shared" si="34"/>
        <v>0.82471142437609202</v>
      </c>
      <c r="D85" s="138">
        <f t="shared" si="34"/>
        <v>0.7252760745546496</v>
      </c>
      <c r="E85" s="138">
        <f t="shared" si="34"/>
        <v>0.63782963200655141</v>
      </c>
      <c r="F85" s="138">
        <f t="shared" si="34"/>
        <v>0.56092659573173109</v>
      </c>
      <c r="G85" s="138">
        <f t="shared" si="34"/>
        <v>0.49329574859883135</v>
      </c>
      <c r="H85" s="138">
        <f t="shared" si="34"/>
        <v>0.43381914396168442</v>
      </c>
      <c r="I85" s="138">
        <f t="shared" si="34"/>
        <v>0.38151362585672716</v>
      </c>
      <c r="J85" s="138">
        <f t="shared" si="34"/>
        <v>0.33551457730782436</v>
      </c>
      <c r="K85" s="138">
        <f t="shared" si="34"/>
        <v>0.29506162809587938</v>
      </c>
      <c r="L85" s="138">
        <f t="shared" si="34"/>
        <v>0.25948608574081378</v>
      </c>
      <c r="M85" s="138">
        <f t="shared" si="34"/>
        <v>0.2281998819284265</v>
      </c>
      <c r="N85" s="138">
        <f t="shared" si="34"/>
        <v>0.20068585166513633</v>
      </c>
      <c r="O85" s="138">
        <f t="shared" si="34"/>
        <v>0.17648918447378092</v>
      </c>
      <c r="P85" s="138">
        <f t="shared" si="34"/>
        <v>0.15520990631763337</v>
      </c>
      <c r="Q85" s="138">
        <f t="shared" si="34"/>
        <v>0.13649626797786774</v>
      </c>
      <c r="R85" s="138">
        <f t="shared" si="34"/>
        <v>0.12003893059349906</v>
      </c>
      <c r="S85" s="138">
        <f t="shared" si="34"/>
        <v>0.10556585225002113</v>
      </c>
      <c r="T85" s="138">
        <f t="shared" si="34"/>
        <v>9.2837791091391383E-2</v>
      </c>
      <c r="U85" s="138">
        <f t="shared" si="34"/>
        <v>8.1644350621221856E-2</v>
      </c>
      <c r="V85" s="138">
        <f t="shared" si="34"/>
        <v>7.1800501821494903E-2</v>
      </c>
      <c r="W85" s="138">
        <f t="shared" si="34"/>
        <v>6.314352459897539E-2</v>
      </c>
      <c r="X85" s="138">
        <f t="shared" si="34"/>
        <v>5.5530318001033675E-2</v>
      </c>
      <c r="Y85" s="138">
        <f t="shared" si="34"/>
        <v>4.8835034738399147E-2</v>
      </c>
      <c r="Z85" s="138">
        <f t="shared" si="34"/>
        <v>4.2947000913199494E-2</v>
      </c>
      <c r="AA85" s="138">
        <f t="shared" si="34"/>
        <v>3.7768886565121354E-2</v>
      </c>
      <c r="AB85" s="138">
        <f t="shared" si="34"/>
        <v>3.3215096794583898E-2</v>
      </c>
      <c r="AC85" s="138">
        <f t="shared" si="34"/>
        <v>2.9210356867983386E-2</v>
      </c>
      <c r="AD85" s="138">
        <f t="shared" si="34"/>
        <v>2.5688467916615415E-2</v>
      </c>
      <c r="AE85" s="138">
        <f t="shared" si="34"/>
        <v>2.2591212660817352E-2</v>
      </c>
      <c r="AF85" s="138">
        <f t="shared" si="34"/>
        <v>1.9867393070809383E-2</v>
      </c>
      <c r="AG85" s="138">
        <f t="shared" si="34"/>
        <v>1.7471984056643557E-2</v>
      </c>
      <c r="AH85" s="138">
        <f t="shared" si="34"/>
        <v>1.536538919764625E-2</v>
      </c>
      <c r="AI85" s="138">
        <f t="shared" si="34"/>
        <v>1.351278620846562E-2</v>
      </c>
      <c r="AJ85" s="138">
        <f t="shared" si="34"/>
        <v>1.1883551322192957E-2</v>
      </c>
      <c r="AK85" s="138">
        <f t="shared" si="34"/>
        <v>1.0450753075536858E-2</v>
      </c>
      <c r="AL85" s="138">
        <f t="shared" si="34"/>
        <v>9.1907071282533309E-3</v>
      </c>
      <c r="AM85" s="138">
        <f t="shared" si="34"/>
        <v>8.0825847579397824E-3</v>
      </c>
      <c r="AN85" s="138">
        <f t="shared" si="34"/>
        <v>7.1080685585610632E-3</v>
      </c>
      <c r="AO85" s="138">
        <f t="shared" si="34"/>
        <v>6.251049651359651E-3</v>
      </c>
      <c r="AP85" s="138">
        <f t="shared" si="34"/>
        <v>5.4973614030073455E-3</v>
      </c>
    </row>
    <row r="86" spans="1:44" ht="28.5" x14ac:dyDescent="0.2">
      <c r="A86" s="128" t="s">
        <v>367</v>
      </c>
      <c r="B86" s="129">
        <f>B83*B85</f>
        <v>-37469921.86235112</v>
      </c>
      <c r="C86" s="129">
        <f>C83*C85</f>
        <v>966512.07422465773</v>
      </c>
      <c r="D86" s="129">
        <f t="shared" ref="D86:AO86" si="35">D83*D85</f>
        <v>849979.838382427</v>
      </c>
      <c r="E86" s="129">
        <f t="shared" si="35"/>
        <v>747497.87915084604</v>
      </c>
      <c r="F86" s="129">
        <f t="shared" si="35"/>
        <v>657372.15649533551</v>
      </c>
      <c r="G86" s="129">
        <f t="shared" si="35"/>
        <v>578112.88056928641</v>
      </c>
      <c r="H86" s="129">
        <f t="shared" si="35"/>
        <v>508409.88529530069</v>
      </c>
      <c r="I86" s="129">
        <f t="shared" si="35"/>
        <v>447110.97115055908</v>
      </c>
      <c r="J86" s="129">
        <f t="shared" si="35"/>
        <v>393202.85915975639</v>
      </c>
      <c r="K86" s="129">
        <f t="shared" si="35"/>
        <v>345794.44126264751</v>
      </c>
      <c r="L86" s="129">
        <f t="shared" si="35"/>
        <v>304102.05018261145</v>
      </c>
      <c r="M86" s="129">
        <f t="shared" si="35"/>
        <v>267436.50530526025</v>
      </c>
      <c r="N86" s="129">
        <f t="shared" si="35"/>
        <v>235191.72043378797</v>
      </c>
      <c r="O86" s="129">
        <f t="shared" si="35"/>
        <v>206834.68510578483</v>
      </c>
      <c r="P86" s="129">
        <f t="shared" si="35"/>
        <v>181896.65386138845</v>
      </c>
      <c r="Q86" s="129">
        <f t="shared" si="35"/>
        <v>159965.39782023436</v>
      </c>
      <c r="R86" s="129">
        <f t="shared" si="35"/>
        <v>140678.39048477213</v>
      </c>
      <c r="S86" s="129">
        <f t="shared" si="35"/>
        <v>123716.81513039496</v>
      </c>
      <c r="T86" s="129">
        <f t="shared" si="35"/>
        <v>108800.29472376656</v>
      </c>
      <c r="U86" s="129">
        <f t="shared" si="35"/>
        <v>95682.257254213837</v>
      </c>
      <c r="V86" s="129">
        <f t="shared" si="35"/>
        <v>84145.859866514671</v>
      </c>
      <c r="W86" s="129">
        <f t="shared" si="35"/>
        <v>74000.404420468461</v>
      </c>
      <c r="X86" s="129">
        <f t="shared" si="35"/>
        <v>65078.185225985762</v>
      </c>
      <c r="Y86" s="129">
        <f t="shared" si="35"/>
        <v>57231.716846351032</v>
      </c>
      <c r="Z86" s="129">
        <f t="shared" si="35"/>
        <v>50331.296144887019</v>
      </c>
      <c r="AA86" s="129">
        <f t="shared" si="35"/>
        <v>44262.858275338149</v>
      </c>
      <c r="AB86" s="129">
        <f t="shared" si="35"/>
        <v>38926.091175216032</v>
      </c>
      <c r="AC86" s="129">
        <f t="shared" si="35"/>
        <v>34232.777394438519</v>
      </c>
      <c r="AD86" s="129">
        <f t="shared" si="35"/>
        <v>30105.335849475447</v>
      </c>
      <c r="AE86" s="129">
        <f t="shared" si="35"/>
        <v>26475.539398008481</v>
      </c>
      <c r="AF86" s="129">
        <f t="shared" si="35"/>
        <v>-420794.29619066528</v>
      </c>
      <c r="AG86" s="129">
        <f t="shared" si="35"/>
        <v>-386419.12124721997</v>
      </c>
      <c r="AH86" s="129">
        <f t="shared" si="35"/>
        <v>-354852.09428270295</v>
      </c>
      <c r="AI86" s="129">
        <f t="shared" si="35"/>
        <v>-325863.81442615093</v>
      </c>
      <c r="AJ86" s="129">
        <f t="shared" si="35"/>
        <v>-299243.62083027122</v>
      </c>
      <c r="AK86" s="129">
        <f t="shared" si="35"/>
        <v>-274798.0617771378</v>
      </c>
      <c r="AL86" s="129">
        <f t="shared" si="35"/>
        <v>-252349.48884441768</v>
      </c>
      <c r="AM86" s="129">
        <f t="shared" si="35"/>
        <v>-231734.7659157936</v>
      </c>
      <c r="AN86" s="129">
        <f t="shared" si="35"/>
        <v>-212804.08365382603</v>
      </c>
      <c r="AO86" s="129">
        <f t="shared" si="35"/>
        <v>-195419.8708199017</v>
      </c>
      <c r="AP86" s="129">
        <f>AP83*AP85</f>
        <v>-179455.79452972347</v>
      </c>
    </row>
    <row r="87" spans="1:44" ht="14.25" x14ac:dyDescent="0.2">
      <c r="A87" s="128" t="s">
        <v>368</v>
      </c>
      <c r="B87" s="129">
        <f>SUM($B$86:B86)</f>
        <v>-37469921.86235112</v>
      </c>
      <c r="C87" s="129">
        <f>SUM($B$86:C86)</f>
        <v>-36503409.788126461</v>
      </c>
      <c r="D87" s="129">
        <f>SUM($B$86:D86)</f>
        <v>-35653429.949744031</v>
      </c>
      <c r="E87" s="129">
        <f>SUM($B$86:E86)</f>
        <v>-34905932.070593186</v>
      </c>
      <c r="F87" s="129">
        <f>SUM($B$86:F86)</f>
        <v>-34248559.914097853</v>
      </c>
      <c r="G87" s="129">
        <f>SUM($B$86:G86)</f>
        <v>-33670447.033528566</v>
      </c>
      <c r="H87" s="129">
        <f>SUM($B$86:H86)</f>
        <v>-33162037.148233265</v>
      </c>
      <c r="I87" s="129">
        <f>SUM($B$86:I86)</f>
        <v>-32714926.177082706</v>
      </c>
      <c r="J87" s="129">
        <f>SUM($B$86:J86)</f>
        <v>-32321723.31792295</v>
      </c>
      <c r="K87" s="129">
        <f>SUM($B$86:K86)</f>
        <v>-31975928.876660302</v>
      </c>
      <c r="L87" s="129">
        <f>SUM($B$86:L86)</f>
        <v>-31671826.826477692</v>
      </c>
      <c r="M87" s="129">
        <f>SUM($B$86:M86)</f>
        <v>-31404390.321172431</v>
      </c>
      <c r="N87" s="129">
        <f>SUM($B$86:N86)</f>
        <v>-31169198.600738645</v>
      </c>
      <c r="O87" s="129">
        <f>SUM($B$86:O86)</f>
        <v>-30962363.915632859</v>
      </c>
      <c r="P87" s="129">
        <f>SUM($B$86:P86)</f>
        <v>-30780467.26177147</v>
      </c>
      <c r="Q87" s="129">
        <f>SUM($B$86:Q86)</f>
        <v>-30620501.863951236</v>
      </c>
      <c r="R87" s="129">
        <f>SUM($B$86:R86)</f>
        <v>-30479823.473466463</v>
      </c>
      <c r="S87" s="129">
        <f>SUM($B$86:S86)</f>
        <v>-30356106.658336069</v>
      </c>
      <c r="T87" s="129">
        <f>SUM($B$86:T86)</f>
        <v>-30247306.363612302</v>
      </c>
      <c r="U87" s="129">
        <f>SUM($B$86:U86)</f>
        <v>-30151624.106358089</v>
      </c>
      <c r="V87" s="129">
        <f>SUM($B$86:V86)</f>
        <v>-30067478.246491574</v>
      </c>
      <c r="W87" s="129">
        <f>SUM($B$86:W86)</f>
        <v>-29993477.842071105</v>
      </c>
      <c r="X87" s="129">
        <f>SUM($B$86:X86)</f>
        <v>-29928399.656845119</v>
      </c>
      <c r="Y87" s="129">
        <f>SUM($B$86:Y86)</f>
        <v>-29871167.939998768</v>
      </c>
      <c r="Z87" s="129">
        <f>SUM($B$86:Z86)</f>
        <v>-29820836.64385388</v>
      </c>
      <c r="AA87" s="129">
        <f>SUM($B$86:AA86)</f>
        <v>-29776573.785578541</v>
      </c>
      <c r="AB87" s="129">
        <f>SUM($B$86:AB86)</f>
        <v>-29737647.694403324</v>
      </c>
      <c r="AC87" s="129">
        <f>SUM($B$86:AC86)</f>
        <v>-29703414.917008884</v>
      </c>
      <c r="AD87" s="129">
        <f>SUM($B$86:AD86)</f>
        <v>-29673309.581159409</v>
      </c>
      <c r="AE87" s="129">
        <f>SUM($B$86:AE86)</f>
        <v>-29646834.041761402</v>
      </c>
      <c r="AF87" s="129">
        <f>SUM($B$86:AF86)</f>
        <v>-30067628.337952066</v>
      </c>
      <c r="AG87" s="129">
        <f>SUM($B$86:AG86)</f>
        <v>-30454047.459199287</v>
      </c>
      <c r="AH87" s="129">
        <f>SUM($B$86:AH86)</f>
        <v>-30808899.553481989</v>
      </c>
      <c r="AI87" s="129">
        <f>SUM($B$86:AI86)</f>
        <v>-31134763.367908139</v>
      </c>
      <c r="AJ87" s="129">
        <f>SUM($B$86:AJ86)</f>
        <v>-31434006.98873841</v>
      </c>
      <c r="AK87" s="129">
        <f>SUM($B$86:AK86)</f>
        <v>-31708805.050515547</v>
      </c>
      <c r="AL87" s="129">
        <f>SUM($B$86:AL86)</f>
        <v>-31961154.539359964</v>
      </c>
      <c r="AM87" s="129">
        <f>SUM($B$86:AM86)</f>
        <v>-32192889.305275757</v>
      </c>
      <c r="AN87" s="129">
        <f>SUM($B$86:AN86)</f>
        <v>-32405693.388929583</v>
      </c>
      <c r="AO87" s="129">
        <f>SUM($B$86:AO86)</f>
        <v>-32601113.259749483</v>
      </c>
      <c r="AP87" s="129">
        <f>SUM($B$86:AP86)</f>
        <v>-32780569.054279208</v>
      </c>
    </row>
    <row r="88" spans="1:44" ht="14.25" x14ac:dyDescent="0.2">
      <c r="A88" s="128" t="s">
        <v>369</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370</v>
      </c>
      <c r="B89" s="140">
        <f>IF(AND(B84&gt;0,A84&lt;0),(B74-(B84/(B84-A84))),0)</f>
        <v>0</v>
      </c>
      <c r="C89" s="140">
        <f t="shared" ref="C89:AP89" si="36">IF(AND(C84&gt;0,B84&lt;0),(C74-(C84/(C84-B84))),0)</f>
        <v>0</v>
      </c>
      <c r="D89" s="140">
        <f t="shared" si="36"/>
        <v>0</v>
      </c>
      <c r="E89" s="140">
        <f t="shared" si="36"/>
        <v>0</v>
      </c>
      <c r="F89" s="140">
        <f t="shared" si="36"/>
        <v>0</v>
      </c>
      <c r="G89" s="140">
        <f t="shared" si="36"/>
        <v>0</v>
      </c>
      <c r="H89" s="140">
        <f>IF(AND(H84&gt;0,G84&lt;0),(H74-(H84/(H84-G84))),0)</f>
        <v>0</v>
      </c>
      <c r="I89" s="140">
        <f t="shared" si="36"/>
        <v>0</v>
      </c>
      <c r="J89" s="140">
        <f t="shared" si="36"/>
        <v>0</v>
      </c>
      <c r="K89" s="140">
        <f t="shared" si="36"/>
        <v>0</v>
      </c>
      <c r="L89" s="140">
        <f t="shared" si="36"/>
        <v>0</v>
      </c>
      <c r="M89" s="140">
        <f t="shared" si="36"/>
        <v>0</v>
      </c>
      <c r="N89" s="140">
        <f t="shared" si="36"/>
        <v>0</v>
      </c>
      <c r="O89" s="140">
        <f t="shared" si="36"/>
        <v>0</v>
      </c>
      <c r="P89" s="140">
        <f t="shared" si="36"/>
        <v>0</v>
      </c>
      <c r="Q89" s="140">
        <f t="shared" si="36"/>
        <v>0</v>
      </c>
      <c r="R89" s="140">
        <f t="shared" si="36"/>
        <v>0</v>
      </c>
      <c r="S89" s="140">
        <f t="shared" si="36"/>
        <v>0</v>
      </c>
      <c r="T89" s="140">
        <f t="shared" si="36"/>
        <v>0</v>
      </c>
      <c r="U89" s="140">
        <f t="shared" si="36"/>
        <v>0</v>
      </c>
      <c r="V89" s="140">
        <f t="shared" si="36"/>
        <v>0</v>
      </c>
      <c r="W89" s="140">
        <f t="shared" si="36"/>
        <v>0</v>
      </c>
      <c r="X89" s="140">
        <f t="shared" si="36"/>
        <v>0</v>
      </c>
      <c r="Y89" s="140">
        <f t="shared" si="36"/>
        <v>0</v>
      </c>
      <c r="Z89" s="140">
        <f t="shared" si="36"/>
        <v>0</v>
      </c>
      <c r="AA89" s="140">
        <f t="shared" si="36"/>
        <v>0</v>
      </c>
      <c r="AB89" s="140">
        <f t="shared" si="36"/>
        <v>0</v>
      </c>
      <c r="AC89" s="140">
        <f t="shared" si="36"/>
        <v>0</v>
      </c>
      <c r="AD89" s="140">
        <f t="shared" si="36"/>
        <v>0</v>
      </c>
      <c r="AE89" s="140">
        <f t="shared" si="36"/>
        <v>0</v>
      </c>
      <c r="AF89" s="140">
        <f t="shared" si="36"/>
        <v>0</v>
      </c>
      <c r="AG89" s="140">
        <f t="shared" si="36"/>
        <v>0</v>
      </c>
      <c r="AH89" s="140">
        <f t="shared" si="36"/>
        <v>0</v>
      </c>
      <c r="AI89" s="140">
        <f t="shared" si="36"/>
        <v>0</v>
      </c>
      <c r="AJ89" s="140">
        <f t="shared" si="36"/>
        <v>0</v>
      </c>
      <c r="AK89" s="140">
        <f t="shared" si="36"/>
        <v>0</v>
      </c>
      <c r="AL89" s="140">
        <f t="shared" si="36"/>
        <v>0</v>
      </c>
      <c r="AM89" s="140">
        <f t="shared" si="36"/>
        <v>0</v>
      </c>
      <c r="AN89" s="140">
        <f t="shared" si="36"/>
        <v>0</v>
      </c>
      <c r="AO89" s="140">
        <f t="shared" si="36"/>
        <v>0</v>
      </c>
      <c r="AP89" s="140">
        <f t="shared" si="36"/>
        <v>0</v>
      </c>
    </row>
    <row r="90" spans="1:44" ht="14.25" x14ac:dyDescent="0.2">
      <c r="A90" s="141" t="s">
        <v>371</v>
      </c>
      <c r="B90" s="142">
        <f t="shared" ref="B90:AP90" si="37">IF(AND(B87&gt;0,A87&lt;0),(B74-(B87/(B87-A87))),0)</f>
        <v>0</v>
      </c>
      <c r="C90" s="142">
        <f t="shared" si="37"/>
        <v>0</v>
      </c>
      <c r="D90" s="142">
        <f t="shared" si="37"/>
        <v>0</v>
      </c>
      <c r="E90" s="142">
        <f t="shared" si="37"/>
        <v>0</v>
      </c>
      <c r="F90" s="142">
        <f t="shared" si="37"/>
        <v>0</v>
      </c>
      <c r="G90" s="142">
        <f t="shared" si="37"/>
        <v>0</v>
      </c>
      <c r="H90" s="142">
        <f t="shared" si="37"/>
        <v>0</v>
      </c>
      <c r="I90" s="142">
        <f t="shared" si="37"/>
        <v>0</v>
      </c>
      <c r="J90" s="142">
        <f t="shared" si="37"/>
        <v>0</v>
      </c>
      <c r="K90" s="142">
        <f t="shared" si="37"/>
        <v>0</v>
      </c>
      <c r="L90" s="142">
        <f t="shared" si="37"/>
        <v>0</v>
      </c>
      <c r="M90" s="142">
        <f t="shared" si="37"/>
        <v>0</v>
      </c>
      <c r="N90" s="142">
        <f t="shared" si="37"/>
        <v>0</v>
      </c>
      <c r="O90" s="142">
        <f t="shared" si="37"/>
        <v>0</v>
      </c>
      <c r="P90" s="142">
        <f t="shared" si="37"/>
        <v>0</v>
      </c>
      <c r="Q90" s="142">
        <f t="shared" si="37"/>
        <v>0</v>
      </c>
      <c r="R90" s="142">
        <f t="shared" si="37"/>
        <v>0</v>
      </c>
      <c r="S90" s="142">
        <f t="shared" si="37"/>
        <v>0</v>
      </c>
      <c r="T90" s="142">
        <f t="shared" si="37"/>
        <v>0</v>
      </c>
      <c r="U90" s="142">
        <f t="shared" si="37"/>
        <v>0</v>
      </c>
      <c r="V90" s="142">
        <f t="shared" si="37"/>
        <v>0</v>
      </c>
      <c r="W90" s="142">
        <f t="shared" si="37"/>
        <v>0</v>
      </c>
      <c r="X90" s="142">
        <f t="shared" si="37"/>
        <v>0</v>
      </c>
      <c r="Y90" s="142">
        <f t="shared" si="37"/>
        <v>0</v>
      </c>
      <c r="Z90" s="142">
        <f t="shared" si="37"/>
        <v>0</v>
      </c>
      <c r="AA90" s="142">
        <f t="shared" si="37"/>
        <v>0</v>
      </c>
      <c r="AB90" s="142">
        <f t="shared" si="37"/>
        <v>0</v>
      </c>
      <c r="AC90" s="142">
        <f t="shared" si="37"/>
        <v>0</v>
      </c>
      <c r="AD90" s="142">
        <f t="shared" si="37"/>
        <v>0</v>
      </c>
      <c r="AE90" s="142">
        <f t="shared" si="37"/>
        <v>0</v>
      </c>
      <c r="AF90" s="142">
        <f t="shared" si="37"/>
        <v>0</v>
      </c>
      <c r="AG90" s="142">
        <f t="shared" si="37"/>
        <v>0</v>
      </c>
      <c r="AH90" s="142">
        <f t="shared" si="37"/>
        <v>0</v>
      </c>
      <c r="AI90" s="142">
        <f t="shared" si="37"/>
        <v>0</v>
      </c>
      <c r="AJ90" s="142">
        <f t="shared" si="37"/>
        <v>0</v>
      </c>
      <c r="AK90" s="142">
        <f t="shared" si="37"/>
        <v>0</v>
      </c>
      <c r="AL90" s="142">
        <f t="shared" si="37"/>
        <v>0</v>
      </c>
      <c r="AM90" s="142">
        <f t="shared" si="37"/>
        <v>0</v>
      </c>
      <c r="AN90" s="142">
        <f t="shared" si="37"/>
        <v>0</v>
      </c>
      <c r="AO90" s="142">
        <f t="shared" si="37"/>
        <v>0</v>
      </c>
      <c r="AP90" s="142">
        <f t="shared" si="37"/>
        <v>0</v>
      </c>
    </row>
    <row r="91" spans="1:44" x14ac:dyDescent="0.2">
      <c r="B91" s="143">
        <v>2024</v>
      </c>
      <c r="C91" s="143">
        <f>B91+1</f>
        <v>2025</v>
      </c>
      <c r="D91" s="78">
        <f t="shared" ref="D91:AP91" si="38">C91+1</f>
        <v>2026</v>
      </c>
      <c r="E91" s="78">
        <f t="shared" si="38"/>
        <v>2027</v>
      </c>
      <c r="F91" s="78">
        <f t="shared" si="38"/>
        <v>2028</v>
      </c>
      <c r="G91" s="78">
        <f t="shared" si="38"/>
        <v>2029</v>
      </c>
      <c r="H91" s="78">
        <f t="shared" si="38"/>
        <v>2030</v>
      </c>
      <c r="I91" s="78">
        <f t="shared" si="38"/>
        <v>2031</v>
      </c>
      <c r="J91" s="78">
        <f t="shared" si="38"/>
        <v>2032</v>
      </c>
      <c r="K91" s="78">
        <f t="shared" si="38"/>
        <v>2033</v>
      </c>
      <c r="L91" s="78">
        <f t="shared" si="38"/>
        <v>2034</v>
      </c>
      <c r="M91" s="78">
        <f t="shared" si="38"/>
        <v>2035</v>
      </c>
      <c r="N91" s="78">
        <f t="shared" si="38"/>
        <v>2036</v>
      </c>
      <c r="O91" s="78">
        <f t="shared" si="38"/>
        <v>2037</v>
      </c>
      <c r="P91" s="78">
        <f t="shared" si="38"/>
        <v>2038</v>
      </c>
      <c r="Q91" s="78">
        <f t="shared" si="38"/>
        <v>2039</v>
      </c>
      <c r="R91" s="78">
        <f t="shared" si="38"/>
        <v>2040</v>
      </c>
      <c r="S91" s="78">
        <f t="shared" si="38"/>
        <v>2041</v>
      </c>
      <c r="T91" s="78">
        <f t="shared" si="38"/>
        <v>2042</v>
      </c>
      <c r="U91" s="78">
        <f t="shared" si="38"/>
        <v>2043</v>
      </c>
      <c r="V91" s="78">
        <f t="shared" si="38"/>
        <v>2044</v>
      </c>
      <c r="W91" s="78">
        <f t="shared" si="38"/>
        <v>2045</v>
      </c>
      <c r="X91" s="78">
        <f t="shared" si="38"/>
        <v>2046</v>
      </c>
      <c r="Y91" s="78">
        <f t="shared" si="38"/>
        <v>2047</v>
      </c>
      <c r="Z91" s="78">
        <f t="shared" si="38"/>
        <v>2048</v>
      </c>
      <c r="AA91" s="78">
        <f t="shared" si="38"/>
        <v>2049</v>
      </c>
      <c r="AB91" s="78">
        <f t="shared" si="38"/>
        <v>2050</v>
      </c>
      <c r="AC91" s="78">
        <f t="shared" si="38"/>
        <v>2051</v>
      </c>
      <c r="AD91" s="78">
        <f t="shared" si="38"/>
        <v>2052</v>
      </c>
      <c r="AE91" s="78">
        <f t="shared" si="38"/>
        <v>2053</v>
      </c>
      <c r="AF91" s="78">
        <f t="shared" si="38"/>
        <v>2054</v>
      </c>
      <c r="AG91" s="78">
        <f t="shared" si="38"/>
        <v>2055</v>
      </c>
      <c r="AH91" s="78">
        <f t="shared" si="38"/>
        <v>2056</v>
      </c>
      <c r="AI91" s="78">
        <f t="shared" si="38"/>
        <v>2057</v>
      </c>
      <c r="AJ91" s="78">
        <f t="shared" si="38"/>
        <v>2058</v>
      </c>
      <c r="AK91" s="78">
        <f t="shared" si="38"/>
        <v>2059</v>
      </c>
      <c r="AL91" s="78">
        <f t="shared" si="38"/>
        <v>2060</v>
      </c>
      <c r="AM91" s="78">
        <f t="shared" si="38"/>
        <v>2061</v>
      </c>
      <c r="AN91" s="78">
        <f t="shared" si="38"/>
        <v>2062</v>
      </c>
      <c r="AO91" s="78">
        <f t="shared" si="38"/>
        <v>2063</v>
      </c>
      <c r="AP91" s="78">
        <f t="shared" si="38"/>
        <v>2064</v>
      </c>
    </row>
    <row r="92" spans="1:44" ht="15.6" customHeight="1" x14ac:dyDescent="0.2">
      <c r="A92" s="144" t="s">
        <v>372</v>
      </c>
      <c r="B92" s="145"/>
      <c r="C92" s="145"/>
      <c r="D92" s="145"/>
      <c r="E92" s="145"/>
      <c r="F92" s="145"/>
      <c r="G92" s="145"/>
      <c r="H92" s="145"/>
      <c r="I92" s="145"/>
      <c r="J92" s="145"/>
      <c r="K92" s="145"/>
      <c r="L92" s="146">
        <v>10</v>
      </c>
      <c r="M92" s="145"/>
      <c r="N92" s="145"/>
      <c r="O92" s="145"/>
      <c r="P92" s="145"/>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7" t="s">
        <v>373</v>
      </c>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c r="AN93" s="147"/>
      <c r="AO93" s="147"/>
      <c r="AP93" s="147"/>
    </row>
    <row r="94" spans="1:44" ht="12.75" x14ac:dyDescent="0.2">
      <c r="A94" s="147" t="s">
        <v>374</v>
      </c>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147"/>
      <c r="AL94" s="147"/>
      <c r="AM94" s="147"/>
      <c r="AN94" s="147"/>
      <c r="AO94" s="147"/>
      <c r="AP94" s="147"/>
    </row>
    <row r="95" spans="1:44" ht="12.75" x14ac:dyDescent="0.2">
      <c r="A95" s="147" t="s">
        <v>375</v>
      </c>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c r="AK95" s="147"/>
      <c r="AL95" s="147"/>
      <c r="AM95" s="147"/>
      <c r="AN95" s="147"/>
      <c r="AO95" s="147"/>
      <c r="AP95" s="147"/>
    </row>
    <row r="96" spans="1:44" ht="12.75" x14ac:dyDescent="0.2">
      <c r="A96" s="145" t="s">
        <v>376</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102" ht="33" customHeight="1" x14ac:dyDescent="0.2">
      <c r="A97" s="369" t="s">
        <v>377</v>
      </c>
      <c r="B97" s="369"/>
      <c r="C97" s="369"/>
      <c r="D97" s="369"/>
      <c r="E97" s="369"/>
      <c r="F97" s="369"/>
      <c r="G97" s="369"/>
      <c r="H97" s="369"/>
      <c r="I97" s="369"/>
      <c r="J97" s="369"/>
      <c r="K97" s="369"/>
      <c r="L97" s="369"/>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102" hidden="1" x14ac:dyDescent="0.2">
      <c r="C98" s="148"/>
    </row>
    <row r="99" spans="1:102" s="149" customFormat="1" hidden="1" x14ac:dyDescent="0.2">
      <c r="A99" s="150" t="s">
        <v>378</v>
      </c>
      <c r="B99" s="151">
        <f>B81*B85</f>
        <v>-164853131.94012865</v>
      </c>
      <c r="C99" s="152">
        <f>C81*C85</f>
        <v>0</v>
      </c>
      <c r="D99" s="152">
        <f t="shared" ref="D99:AP99" si="39">D81*D85</f>
        <v>0</v>
      </c>
      <c r="E99" s="152">
        <f t="shared" si="39"/>
        <v>0</v>
      </c>
      <c r="F99" s="152">
        <f t="shared" si="39"/>
        <v>0</v>
      </c>
      <c r="G99" s="152">
        <f t="shared" si="39"/>
        <v>0</v>
      </c>
      <c r="H99" s="152">
        <f t="shared" si="39"/>
        <v>0</v>
      </c>
      <c r="I99" s="152">
        <f t="shared" si="39"/>
        <v>0</v>
      </c>
      <c r="J99" s="152">
        <f>J81*J85</f>
        <v>0</v>
      </c>
      <c r="K99" s="152">
        <f t="shared" si="39"/>
        <v>0</v>
      </c>
      <c r="L99" s="152">
        <f>L81*L85</f>
        <v>0</v>
      </c>
      <c r="M99" s="152">
        <f t="shared" si="39"/>
        <v>0</v>
      </c>
      <c r="N99" s="152">
        <f t="shared" si="39"/>
        <v>0</v>
      </c>
      <c r="O99" s="152">
        <f t="shared" si="39"/>
        <v>0</v>
      </c>
      <c r="P99" s="152">
        <f t="shared" si="39"/>
        <v>0</v>
      </c>
      <c r="Q99" s="152">
        <f t="shared" si="39"/>
        <v>0</v>
      </c>
      <c r="R99" s="152">
        <f t="shared" si="39"/>
        <v>0</v>
      </c>
      <c r="S99" s="152">
        <f t="shared" si="39"/>
        <v>0</v>
      </c>
      <c r="T99" s="152">
        <f t="shared" si="39"/>
        <v>0</v>
      </c>
      <c r="U99" s="152">
        <f t="shared" si="39"/>
        <v>0</v>
      </c>
      <c r="V99" s="152">
        <f t="shared" si="39"/>
        <v>0</v>
      </c>
      <c r="W99" s="152">
        <f t="shared" si="39"/>
        <v>0</v>
      </c>
      <c r="X99" s="152">
        <f t="shared" si="39"/>
        <v>0</v>
      </c>
      <c r="Y99" s="152">
        <f t="shared" si="39"/>
        <v>0</v>
      </c>
      <c r="Z99" s="152">
        <f t="shared" si="39"/>
        <v>0</v>
      </c>
      <c r="AA99" s="152">
        <f t="shared" si="39"/>
        <v>0</v>
      </c>
      <c r="AB99" s="152">
        <f t="shared" si="39"/>
        <v>0</v>
      </c>
      <c r="AC99" s="152">
        <f t="shared" si="39"/>
        <v>0</v>
      </c>
      <c r="AD99" s="152">
        <f t="shared" si="39"/>
        <v>0</v>
      </c>
      <c r="AE99" s="152">
        <f t="shared" si="39"/>
        <v>0</v>
      </c>
      <c r="AF99" s="152">
        <f t="shared" si="39"/>
        <v>0</v>
      </c>
      <c r="AG99" s="152">
        <f t="shared" si="39"/>
        <v>0</v>
      </c>
      <c r="AH99" s="152">
        <f t="shared" si="39"/>
        <v>0</v>
      </c>
      <c r="AI99" s="152">
        <f t="shared" si="39"/>
        <v>0</v>
      </c>
      <c r="AJ99" s="152">
        <f t="shared" si="39"/>
        <v>0</v>
      </c>
      <c r="AK99" s="152">
        <f t="shared" si="39"/>
        <v>0</v>
      </c>
      <c r="AL99" s="152">
        <f t="shared" si="39"/>
        <v>0</v>
      </c>
      <c r="AM99" s="152">
        <f t="shared" si="39"/>
        <v>0</v>
      </c>
      <c r="AN99" s="152">
        <f t="shared" si="39"/>
        <v>0</v>
      </c>
      <c r="AO99" s="152">
        <f t="shared" si="39"/>
        <v>0</v>
      </c>
      <c r="AP99" s="152">
        <f t="shared" si="39"/>
        <v>0</v>
      </c>
      <c r="AQ99" s="153">
        <f>SUM(B99:AP99)</f>
        <v>-164853131.94012865</v>
      </c>
      <c r="AR99" s="154"/>
      <c r="AS99" s="154"/>
    </row>
    <row r="100" spans="1:102" s="155" customFormat="1" hidden="1" x14ac:dyDescent="0.2">
      <c r="A100" s="156">
        <f>AQ99</f>
        <v>-164853131.94012865</v>
      </c>
      <c r="B100" s="157"/>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102" s="155" customFormat="1" hidden="1" x14ac:dyDescent="0.2">
      <c r="A101" s="156">
        <f>AP87</f>
        <v>-32780569.054279208</v>
      </c>
      <c r="B101" s="157"/>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102" s="155" customFormat="1" hidden="1" x14ac:dyDescent="0.2">
      <c r="A102" s="158" t="s">
        <v>379</v>
      </c>
      <c r="B102" s="159">
        <f>(A101+-A100)/-A100</f>
        <v>0.80115288882600999</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102" s="155" customFormat="1" hidden="1" x14ac:dyDescent="0.2">
      <c r="A103" s="160"/>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102" ht="12.75" hidden="1" x14ac:dyDescent="0.2">
      <c r="A104" s="161" t="s">
        <v>380</v>
      </c>
      <c r="B104" s="161" t="s">
        <v>381</v>
      </c>
      <c r="C104" s="161" t="s">
        <v>382</v>
      </c>
      <c r="D104" s="161" t="s">
        <v>383</v>
      </c>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row>
    <row r="105" spans="1:102" ht="12.75" hidden="1" x14ac:dyDescent="0.2">
      <c r="A105" s="163">
        <f>G30/1000/1000</f>
        <v>-31.671826826477691</v>
      </c>
      <c r="B105" s="164">
        <f>L88</f>
        <v>0</v>
      </c>
      <c r="C105" s="165" t="str">
        <f>G28</f>
        <v>не окупается</v>
      </c>
      <c r="D105" s="165" t="str">
        <f>G29</f>
        <v>не окупается</v>
      </c>
      <c r="E105" s="76" t="s">
        <v>384</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102" ht="12.75" hidden="1" x14ac:dyDescent="0.2">
      <c r="A106" s="166"/>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row>
    <row r="107" spans="1:102" ht="12.75" hidden="1" x14ac:dyDescent="0.2">
      <c r="A107" s="167"/>
      <c r="B107" s="168">
        <v>2023</v>
      </c>
      <c r="C107" s="169">
        <f>B107+1</f>
        <v>2024</v>
      </c>
      <c r="D107" s="169">
        <f>C107+1</f>
        <v>2025</v>
      </c>
      <c r="E107" s="169">
        <f t="shared" ref="E107:AP107" si="40">D107+1</f>
        <v>2026</v>
      </c>
      <c r="F107" s="169">
        <f t="shared" si="40"/>
        <v>2027</v>
      </c>
      <c r="G107" s="169">
        <f t="shared" si="40"/>
        <v>2028</v>
      </c>
      <c r="H107" s="169">
        <f t="shared" si="40"/>
        <v>2029</v>
      </c>
      <c r="I107" s="169">
        <f t="shared" si="40"/>
        <v>2030</v>
      </c>
      <c r="J107" s="169">
        <f t="shared" si="40"/>
        <v>2031</v>
      </c>
      <c r="K107" s="169">
        <f t="shared" si="40"/>
        <v>2032</v>
      </c>
      <c r="L107" s="169">
        <f t="shared" si="40"/>
        <v>2033</v>
      </c>
      <c r="M107" s="169">
        <f t="shared" si="40"/>
        <v>2034</v>
      </c>
      <c r="N107" s="169">
        <f t="shared" si="40"/>
        <v>2035</v>
      </c>
      <c r="O107" s="169">
        <f t="shared" si="40"/>
        <v>2036</v>
      </c>
      <c r="P107" s="169">
        <f t="shared" si="40"/>
        <v>2037</v>
      </c>
      <c r="Q107" s="169">
        <f t="shared" si="40"/>
        <v>2038</v>
      </c>
      <c r="R107" s="169">
        <f t="shared" si="40"/>
        <v>2039</v>
      </c>
      <c r="S107" s="169">
        <f t="shared" si="40"/>
        <v>2040</v>
      </c>
      <c r="T107" s="169">
        <f t="shared" si="40"/>
        <v>2041</v>
      </c>
      <c r="U107" s="169">
        <f t="shared" si="40"/>
        <v>2042</v>
      </c>
      <c r="V107" s="169">
        <f t="shared" si="40"/>
        <v>2043</v>
      </c>
      <c r="W107" s="169">
        <f t="shared" si="40"/>
        <v>2044</v>
      </c>
      <c r="X107" s="169">
        <f t="shared" si="40"/>
        <v>2045</v>
      </c>
      <c r="Y107" s="169">
        <f t="shared" si="40"/>
        <v>2046</v>
      </c>
      <c r="Z107" s="169">
        <f t="shared" si="40"/>
        <v>2047</v>
      </c>
      <c r="AA107" s="169">
        <f t="shared" si="40"/>
        <v>2048</v>
      </c>
      <c r="AB107" s="169">
        <f t="shared" si="40"/>
        <v>2049</v>
      </c>
      <c r="AC107" s="169">
        <f t="shared" si="40"/>
        <v>2050</v>
      </c>
      <c r="AD107" s="169">
        <f t="shared" si="40"/>
        <v>2051</v>
      </c>
      <c r="AE107" s="169">
        <f t="shared" si="40"/>
        <v>2052</v>
      </c>
      <c r="AF107" s="169">
        <f t="shared" si="40"/>
        <v>2053</v>
      </c>
      <c r="AG107" s="169">
        <f t="shared" si="40"/>
        <v>2054</v>
      </c>
      <c r="AH107" s="169">
        <f t="shared" si="40"/>
        <v>2055</v>
      </c>
      <c r="AI107" s="169">
        <f t="shared" si="40"/>
        <v>2056</v>
      </c>
      <c r="AJ107" s="169">
        <f t="shared" si="40"/>
        <v>2057</v>
      </c>
      <c r="AK107" s="169">
        <f t="shared" si="40"/>
        <v>2058</v>
      </c>
      <c r="AL107" s="169">
        <f t="shared" si="40"/>
        <v>2059</v>
      </c>
      <c r="AM107" s="169">
        <f t="shared" si="40"/>
        <v>2060</v>
      </c>
      <c r="AN107" s="169">
        <f t="shared" si="40"/>
        <v>2061</v>
      </c>
      <c r="AO107" s="169">
        <f t="shared" si="40"/>
        <v>2062</v>
      </c>
      <c r="AP107" s="169">
        <f t="shared" si="40"/>
        <v>2063</v>
      </c>
      <c r="AT107" s="155"/>
      <c r="AU107" s="155"/>
      <c r="AV107" s="155"/>
      <c r="AW107" s="155"/>
      <c r="AX107" s="155"/>
      <c r="AY107" s="155"/>
      <c r="AZ107" s="155"/>
      <c r="BA107" s="155"/>
      <c r="BB107" s="155"/>
      <c r="BC107" s="155"/>
      <c r="BD107" s="155"/>
      <c r="BE107" s="155"/>
      <c r="BF107" s="155"/>
      <c r="BG107" s="155"/>
    </row>
    <row r="108" spans="1:102" ht="12.75" hidden="1" x14ac:dyDescent="0.2">
      <c r="A108" s="170" t="s">
        <v>679</v>
      </c>
      <c r="B108" s="171"/>
      <c r="C108" s="171">
        <f>C109*$B$111*$B$112*1000</f>
        <v>0</v>
      </c>
      <c r="D108" s="171">
        <f t="shared" ref="D108:AP108" si="41">D109*$B$111*$B$112*1000</f>
        <v>0</v>
      </c>
      <c r="E108" s="171">
        <f>E109*$B$111*$B$112*1000</f>
        <v>0</v>
      </c>
      <c r="F108" s="171">
        <f t="shared" si="41"/>
        <v>0</v>
      </c>
      <c r="G108" s="171">
        <f t="shared" si="41"/>
        <v>0</v>
      </c>
      <c r="H108" s="171">
        <f t="shared" si="41"/>
        <v>0</v>
      </c>
      <c r="I108" s="171">
        <f t="shared" si="41"/>
        <v>0</v>
      </c>
      <c r="J108" s="171">
        <f t="shared" si="41"/>
        <v>0</v>
      </c>
      <c r="K108" s="171">
        <f t="shared" si="41"/>
        <v>0</v>
      </c>
      <c r="L108" s="171">
        <f t="shared" si="41"/>
        <v>0</v>
      </c>
      <c r="M108" s="171">
        <f t="shared" si="41"/>
        <v>0</v>
      </c>
      <c r="N108" s="171">
        <f t="shared" si="41"/>
        <v>0</v>
      </c>
      <c r="O108" s="171">
        <f t="shared" si="41"/>
        <v>0</v>
      </c>
      <c r="P108" s="171">
        <f t="shared" si="41"/>
        <v>0</v>
      </c>
      <c r="Q108" s="171">
        <f t="shared" si="41"/>
        <v>0</v>
      </c>
      <c r="R108" s="171">
        <f t="shared" si="41"/>
        <v>0</v>
      </c>
      <c r="S108" s="171">
        <f t="shared" si="41"/>
        <v>0</v>
      </c>
      <c r="T108" s="171">
        <f t="shared" si="41"/>
        <v>0</v>
      </c>
      <c r="U108" s="171">
        <f t="shared" si="41"/>
        <v>0</v>
      </c>
      <c r="V108" s="171">
        <f t="shared" si="41"/>
        <v>0</v>
      </c>
      <c r="W108" s="171">
        <f t="shared" si="41"/>
        <v>0</v>
      </c>
      <c r="X108" s="171">
        <f t="shared" si="41"/>
        <v>0</v>
      </c>
      <c r="Y108" s="171">
        <f t="shared" si="41"/>
        <v>0</v>
      </c>
      <c r="Z108" s="171">
        <f t="shared" si="41"/>
        <v>0</v>
      </c>
      <c r="AA108" s="171">
        <f t="shared" si="41"/>
        <v>0</v>
      </c>
      <c r="AB108" s="171">
        <f t="shared" si="41"/>
        <v>0</v>
      </c>
      <c r="AC108" s="171">
        <f t="shared" si="41"/>
        <v>0</v>
      </c>
      <c r="AD108" s="171">
        <f t="shared" si="41"/>
        <v>0</v>
      </c>
      <c r="AE108" s="171">
        <f t="shared" si="41"/>
        <v>0</v>
      </c>
      <c r="AF108" s="171">
        <f t="shared" si="41"/>
        <v>0</v>
      </c>
      <c r="AG108" s="171">
        <f t="shared" si="41"/>
        <v>0</v>
      </c>
      <c r="AH108" s="171">
        <f t="shared" si="41"/>
        <v>0</v>
      </c>
      <c r="AI108" s="171">
        <f t="shared" si="41"/>
        <v>0</v>
      </c>
      <c r="AJ108" s="171">
        <f t="shared" si="41"/>
        <v>0</v>
      </c>
      <c r="AK108" s="171">
        <f t="shared" si="41"/>
        <v>0</v>
      </c>
      <c r="AL108" s="171">
        <f t="shared" si="41"/>
        <v>0</v>
      </c>
      <c r="AM108" s="171">
        <f t="shared" si="41"/>
        <v>0</v>
      </c>
      <c r="AN108" s="171">
        <f t="shared" si="41"/>
        <v>0</v>
      </c>
      <c r="AO108" s="171">
        <f t="shared" si="41"/>
        <v>0</v>
      </c>
      <c r="AP108" s="171">
        <f t="shared" si="41"/>
        <v>0</v>
      </c>
      <c r="AT108" s="155"/>
      <c r="AU108" s="155"/>
      <c r="AV108" s="155"/>
      <c r="AW108" s="155"/>
      <c r="AX108" s="155"/>
      <c r="AY108" s="155"/>
      <c r="AZ108" s="155"/>
      <c r="BA108" s="155"/>
      <c r="BB108" s="155"/>
      <c r="BC108" s="155"/>
      <c r="BD108" s="155"/>
      <c r="BE108" s="155"/>
      <c r="BF108" s="155"/>
      <c r="BG108" s="155"/>
    </row>
    <row r="109" spans="1:102" ht="12.75" hidden="1" x14ac:dyDescent="0.2">
      <c r="A109" s="170" t="s">
        <v>385</v>
      </c>
      <c r="B109" s="169"/>
      <c r="C109" s="169">
        <f>B109+$I$120*C113</f>
        <v>0</v>
      </c>
      <c r="D109" s="169">
        <f>C109+$I$120*D113</f>
        <v>0</v>
      </c>
      <c r="E109" s="169">
        <f t="shared" ref="E109:AP109" si="42">D109+$I$120*E113</f>
        <v>0</v>
      </c>
      <c r="F109" s="169">
        <f t="shared" si="42"/>
        <v>0</v>
      </c>
      <c r="G109" s="169">
        <f t="shared" si="42"/>
        <v>0</v>
      </c>
      <c r="H109" s="169">
        <f t="shared" si="42"/>
        <v>0</v>
      </c>
      <c r="I109" s="169">
        <f t="shared" si="42"/>
        <v>0</v>
      </c>
      <c r="J109" s="169">
        <f t="shared" si="42"/>
        <v>0</v>
      </c>
      <c r="K109" s="169">
        <f t="shared" si="42"/>
        <v>0</v>
      </c>
      <c r="L109" s="169">
        <f t="shared" si="42"/>
        <v>0</v>
      </c>
      <c r="M109" s="169">
        <f t="shared" si="42"/>
        <v>0</v>
      </c>
      <c r="N109" s="169">
        <f t="shared" si="42"/>
        <v>0</v>
      </c>
      <c r="O109" s="169">
        <f t="shared" si="42"/>
        <v>0</v>
      </c>
      <c r="P109" s="169">
        <f t="shared" si="42"/>
        <v>0</v>
      </c>
      <c r="Q109" s="169">
        <f t="shared" si="42"/>
        <v>0</v>
      </c>
      <c r="R109" s="169">
        <f t="shared" si="42"/>
        <v>0</v>
      </c>
      <c r="S109" s="169">
        <f t="shared" si="42"/>
        <v>0</v>
      </c>
      <c r="T109" s="169">
        <f t="shared" si="42"/>
        <v>0</v>
      </c>
      <c r="U109" s="169">
        <f t="shared" si="42"/>
        <v>0</v>
      </c>
      <c r="V109" s="169">
        <f t="shared" si="42"/>
        <v>0</v>
      </c>
      <c r="W109" s="169">
        <f t="shared" si="42"/>
        <v>0</v>
      </c>
      <c r="X109" s="169">
        <f t="shared" si="42"/>
        <v>0</v>
      </c>
      <c r="Y109" s="169">
        <f t="shared" si="42"/>
        <v>0</v>
      </c>
      <c r="Z109" s="169">
        <f t="shared" si="42"/>
        <v>0</v>
      </c>
      <c r="AA109" s="169">
        <f t="shared" si="42"/>
        <v>0</v>
      </c>
      <c r="AB109" s="169">
        <f t="shared" si="42"/>
        <v>0</v>
      </c>
      <c r="AC109" s="169">
        <f t="shared" si="42"/>
        <v>0</v>
      </c>
      <c r="AD109" s="169">
        <f t="shared" si="42"/>
        <v>0</v>
      </c>
      <c r="AE109" s="169">
        <f t="shared" si="42"/>
        <v>0</v>
      </c>
      <c r="AF109" s="169">
        <f t="shared" si="42"/>
        <v>0</v>
      </c>
      <c r="AG109" s="169">
        <f t="shared" si="42"/>
        <v>0</v>
      </c>
      <c r="AH109" s="169">
        <f t="shared" si="42"/>
        <v>0</v>
      </c>
      <c r="AI109" s="169">
        <f t="shared" si="42"/>
        <v>0</v>
      </c>
      <c r="AJ109" s="169">
        <f t="shared" si="42"/>
        <v>0</v>
      </c>
      <c r="AK109" s="169">
        <f t="shared" si="42"/>
        <v>0</v>
      </c>
      <c r="AL109" s="169">
        <f t="shared" si="42"/>
        <v>0</v>
      </c>
      <c r="AM109" s="169">
        <f t="shared" si="42"/>
        <v>0</v>
      </c>
      <c r="AN109" s="169">
        <f t="shared" si="42"/>
        <v>0</v>
      </c>
      <c r="AO109" s="169">
        <f t="shared" si="42"/>
        <v>0</v>
      </c>
      <c r="AP109" s="169">
        <f t="shared" si="42"/>
        <v>0</v>
      </c>
      <c r="AT109" s="155"/>
      <c r="AU109" s="155"/>
      <c r="AV109" s="155"/>
      <c r="AW109" s="155"/>
      <c r="AX109" s="155"/>
      <c r="AY109" s="155"/>
      <c r="AZ109" s="155"/>
      <c r="BA109" s="155"/>
      <c r="BB109" s="155"/>
      <c r="BC109" s="155"/>
      <c r="BD109" s="155"/>
      <c r="BE109" s="155"/>
      <c r="BF109" s="155"/>
      <c r="BG109" s="155"/>
    </row>
    <row r="110" spans="1:102" ht="12.75" hidden="1" x14ac:dyDescent="0.2">
      <c r="A110" s="170" t="s">
        <v>386</v>
      </c>
      <c r="B110" s="172">
        <v>0.93</v>
      </c>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T110" s="155"/>
      <c r="AU110" s="155"/>
      <c r="AV110" s="155"/>
      <c r="AW110" s="155"/>
      <c r="AX110" s="155"/>
      <c r="AY110" s="155"/>
      <c r="AZ110" s="155"/>
      <c r="BA110" s="155"/>
      <c r="BB110" s="155"/>
      <c r="BC110" s="155"/>
      <c r="BD110" s="155"/>
      <c r="BE110" s="155"/>
      <c r="BF110" s="155"/>
      <c r="BG110" s="155"/>
    </row>
    <row r="111" spans="1:102" ht="12.75" hidden="1" x14ac:dyDescent="0.2">
      <c r="A111" s="170" t="s">
        <v>387</v>
      </c>
      <c r="B111" s="172">
        <v>4380</v>
      </c>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T111" s="155"/>
      <c r="AU111" s="155"/>
      <c r="AV111" s="155"/>
      <c r="AW111" s="155"/>
      <c r="AX111" s="155"/>
      <c r="AY111" s="155"/>
      <c r="AZ111" s="155"/>
      <c r="BA111" s="155"/>
      <c r="BB111" s="155"/>
      <c r="BC111" s="155"/>
      <c r="BD111" s="155"/>
      <c r="BE111" s="155"/>
      <c r="BF111" s="155"/>
      <c r="BG111" s="155"/>
    </row>
    <row r="112" spans="1:102" ht="12.75" hidden="1" x14ac:dyDescent="0.2">
      <c r="A112" s="170" t="s">
        <v>388</v>
      </c>
      <c r="B112" s="168">
        <v>2337.77</v>
      </c>
      <c r="C112" s="169">
        <v>2449.0500000000002</v>
      </c>
      <c r="D112" s="169">
        <v>2750.9</v>
      </c>
      <c r="E112" s="169">
        <v>3022.14</v>
      </c>
      <c r="F112" s="169">
        <v>3178.91</v>
      </c>
      <c r="G112" s="169">
        <v>3307.64</v>
      </c>
      <c r="H112" s="169">
        <v>3439.95</v>
      </c>
      <c r="I112" s="169">
        <f>H112</f>
        <v>3439.95</v>
      </c>
      <c r="J112" s="169">
        <f t="shared" ref="J112:BU112" si="43">I112</f>
        <v>3439.95</v>
      </c>
      <c r="K112" s="169">
        <f t="shared" si="43"/>
        <v>3439.95</v>
      </c>
      <c r="L112" s="169">
        <f t="shared" si="43"/>
        <v>3439.95</v>
      </c>
      <c r="M112" s="169">
        <f t="shared" si="43"/>
        <v>3439.95</v>
      </c>
      <c r="N112" s="169">
        <f t="shared" si="43"/>
        <v>3439.95</v>
      </c>
      <c r="O112" s="169">
        <f t="shared" si="43"/>
        <v>3439.95</v>
      </c>
      <c r="P112" s="169">
        <f t="shared" si="43"/>
        <v>3439.95</v>
      </c>
      <c r="Q112" s="169">
        <f t="shared" si="43"/>
        <v>3439.95</v>
      </c>
      <c r="R112" s="169">
        <f t="shared" si="43"/>
        <v>3439.95</v>
      </c>
      <c r="S112" s="169">
        <f t="shared" si="43"/>
        <v>3439.95</v>
      </c>
      <c r="T112" s="169">
        <f t="shared" si="43"/>
        <v>3439.95</v>
      </c>
      <c r="U112" s="169">
        <f t="shared" si="43"/>
        <v>3439.95</v>
      </c>
      <c r="V112" s="169">
        <f t="shared" si="43"/>
        <v>3439.95</v>
      </c>
      <c r="W112" s="169">
        <f t="shared" si="43"/>
        <v>3439.95</v>
      </c>
      <c r="X112" s="169">
        <f t="shared" si="43"/>
        <v>3439.95</v>
      </c>
      <c r="Y112" s="169">
        <f t="shared" si="43"/>
        <v>3439.95</v>
      </c>
      <c r="Z112" s="169">
        <f t="shared" si="43"/>
        <v>3439.95</v>
      </c>
      <c r="AA112" s="169">
        <f t="shared" si="43"/>
        <v>3439.95</v>
      </c>
      <c r="AB112" s="169">
        <f t="shared" si="43"/>
        <v>3439.95</v>
      </c>
      <c r="AC112" s="169">
        <f t="shared" si="43"/>
        <v>3439.95</v>
      </c>
      <c r="AD112" s="169">
        <f t="shared" si="43"/>
        <v>3439.95</v>
      </c>
      <c r="AE112" s="169">
        <f t="shared" si="43"/>
        <v>3439.95</v>
      </c>
      <c r="AF112" s="169">
        <f t="shared" si="43"/>
        <v>3439.95</v>
      </c>
      <c r="AG112" s="169">
        <f t="shared" si="43"/>
        <v>3439.95</v>
      </c>
      <c r="AH112" s="169">
        <f t="shared" si="43"/>
        <v>3439.95</v>
      </c>
      <c r="AI112" s="169">
        <f t="shared" si="43"/>
        <v>3439.95</v>
      </c>
      <c r="AJ112" s="169">
        <f t="shared" si="43"/>
        <v>3439.95</v>
      </c>
      <c r="AK112" s="169">
        <f t="shared" si="43"/>
        <v>3439.95</v>
      </c>
      <c r="AL112" s="169">
        <f t="shared" si="43"/>
        <v>3439.95</v>
      </c>
      <c r="AM112" s="169">
        <f t="shared" si="43"/>
        <v>3439.95</v>
      </c>
      <c r="AN112" s="169">
        <f t="shared" si="43"/>
        <v>3439.95</v>
      </c>
      <c r="AO112" s="169">
        <f t="shared" si="43"/>
        <v>3439.95</v>
      </c>
      <c r="AP112" s="169">
        <f t="shared" si="43"/>
        <v>3439.95</v>
      </c>
      <c r="AQ112" s="169">
        <f t="shared" si="43"/>
        <v>3439.95</v>
      </c>
      <c r="AR112" s="169">
        <f t="shared" si="43"/>
        <v>3439.95</v>
      </c>
      <c r="AS112" s="169">
        <f t="shared" si="43"/>
        <v>3439.95</v>
      </c>
      <c r="AT112" s="169">
        <f t="shared" si="43"/>
        <v>3439.95</v>
      </c>
      <c r="AU112" s="169">
        <f t="shared" si="43"/>
        <v>3439.95</v>
      </c>
      <c r="AV112" s="169">
        <f t="shared" si="43"/>
        <v>3439.95</v>
      </c>
      <c r="AW112" s="169">
        <f t="shared" si="43"/>
        <v>3439.95</v>
      </c>
      <c r="AX112" s="169">
        <f t="shared" si="43"/>
        <v>3439.95</v>
      </c>
      <c r="AY112" s="169">
        <f t="shared" si="43"/>
        <v>3439.95</v>
      </c>
      <c r="AZ112" s="169">
        <f t="shared" si="43"/>
        <v>3439.95</v>
      </c>
      <c r="BA112" s="169">
        <f t="shared" si="43"/>
        <v>3439.95</v>
      </c>
      <c r="BB112" s="169">
        <f t="shared" si="43"/>
        <v>3439.95</v>
      </c>
      <c r="BC112" s="169">
        <f t="shared" si="43"/>
        <v>3439.95</v>
      </c>
      <c r="BD112" s="169">
        <f t="shared" si="43"/>
        <v>3439.95</v>
      </c>
      <c r="BE112" s="169">
        <f t="shared" si="43"/>
        <v>3439.95</v>
      </c>
      <c r="BF112" s="169">
        <f t="shared" si="43"/>
        <v>3439.95</v>
      </c>
      <c r="BG112" s="169">
        <f t="shared" si="43"/>
        <v>3439.95</v>
      </c>
      <c r="BH112" s="169">
        <f t="shared" si="43"/>
        <v>3439.95</v>
      </c>
      <c r="BI112" s="169">
        <f t="shared" si="43"/>
        <v>3439.95</v>
      </c>
      <c r="BJ112" s="169">
        <f t="shared" si="43"/>
        <v>3439.95</v>
      </c>
      <c r="BK112" s="169">
        <f t="shared" si="43"/>
        <v>3439.95</v>
      </c>
      <c r="BL112" s="169">
        <f t="shared" si="43"/>
        <v>3439.95</v>
      </c>
      <c r="BM112" s="169">
        <f t="shared" si="43"/>
        <v>3439.95</v>
      </c>
      <c r="BN112" s="169">
        <f t="shared" si="43"/>
        <v>3439.95</v>
      </c>
      <c r="BO112" s="169">
        <f t="shared" si="43"/>
        <v>3439.95</v>
      </c>
      <c r="BP112" s="169">
        <f t="shared" si="43"/>
        <v>3439.95</v>
      </c>
      <c r="BQ112" s="169">
        <f t="shared" si="43"/>
        <v>3439.95</v>
      </c>
      <c r="BR112" s="169">
        <f t="shared" si="43"/>
        <v>3439.95</v>
      </c>
      <c r="BS112" s="169">
        <f t="shared" si="43"/>
        <v>3439.95</v>
      </c>
      <c r="BT112" s="169">
        <f t="shared" si="43"/>
        <v>3439.95</v>
      </c>
      <c r="BU112" s="169">
        <f t="shared" si="43"/>
        <v>3439.95</v>
      </c>
      <c r="BV112" s="169">
        <f t="shared" ref="BV112:CX112" si="44">BU112</f>
        <v>3439.95</v>
      </c>
      <c r="BW112" s="169">
        <f t="shared" si="44"/>
        <v>3439.95</v>
      </c>
      <c r="BX112" s="169">
        <f t="shared" si="44"/>
        <v>3439.95</v>
      </c>
      <c r="BY112" s="169">
        <f t="shared" si="44"/>
        <v>3439.95</v>
      </c>
      <c r="BZ112" s="169">
        <f t="shared" si="44"/>
        <v>3439.95</v>
      </c>
      <c r="CA112" s="169">
        <f t="shared" si="44"/>
        <v>3439.95</v>
      </c>
      <c r="CB112" s="169">
        <f t="shared" si="44"/>
        <v>3439.95</v>
      </c>
      <c r="CC112" s="169">
        <f t="shared" si="44"/>
        <v>3439.95</v>
      </c>
      <c r="CD112" s="169">
        <f t="shared" si="44"/>
        <v>3439.95</v>
      </c>
      <c r="CE112" s="169">
        <f t="shared" si="44"/>
        <v>3439.95</v>
      </c>
      <c r="CF112" s="169">
        <f t="shared" si="44"/>
        <v>3439.95</v>
      </c>
      <c r="CG112" s="169">
        <f t="shared" si="44"/>
        <v>3439.95</v>
      </c>
      <c r="CH112" s="169">
        <f t="shared" si="44"/>
        <v>3439.95</v>
      </c>
      <c r="CI112" s="169">
        <f t="shared" si="44"/>
        <v>3439.95</v>
      </c>
      <c r="CJ112" s="169">
        <f t="shared" si="44"/>
        <v>3439.95</v>
      </c>
      <c r="CK112" s="169">
        <f t="shared" si="44"/>
        <v>3439.95</v>
      </c>
      <c r="CL112" s="169">
        <f t="shared" si="44"/>
        <v>3439.95</v>
      </c>
      <c r="CM112" s="169">
        <f t="shared" si="44"/>
        <v>3439.95</v>
      </c>
      <c r="CN112" s="169">
        <f t="shared" si="44"/>
        <v>3439.95</v>
      </c>
      <c r="CO112" s="169">
        <f t="shared" si="44"/>
        <v>3439.95</v>
      </c>
      <c r="CP112" s="169">
        <f t="shared" si="44"/>
        <v>3439.95</v>
      </c>
      <c r="CQ112" s="169">
        <f t="shared" si="44"/>
        <v>3439.95</v>
      </c>
      <c r="CR112" s="169">
        <f t="shared" si="44"/>
        <v>3439.95</v>
      </c>
      <c r="CS112" s="169">
        <f t="shared" si="44"/>
        <v>3439.95</v>
      </c>
      <c r="CT112" s="169">
        <f t="shared" si="44"/>
        <v>3439.95</v>
      </c>
      <c r="CU112" s="169">
        <f t="shared" si="44"/>
        <v>3439.95</v>
      </c>
      <c r="CV112" s="169">
        <f t="shared" si="44"/>
        <v>3439.95</v>
      </c>
      <c r="CW112" s="169">
        <f t="shared" si="44"/>
        <v>3439.95</v>
      </c>
      <c r="CX112" s="169">
        <f t="shared" si="44"/>
        <v>3439.95</v>
      </c>
    </row>
    <row r="113" spans="1:71" ht="15" hidden="1" x14ac:dyDescent="0.2">
      <c r="A113" s="173" t="s">
        <v>389</v>
      </c>
      <c r="B113" s="174">
        <v>0</v>
      </c>
      <c r="C113" s="175">
        <v>0.33</v>
      </c>
      <c r="D113" s="175">
        <v>0.33</v>
      </c>
      <c r="E113" s="175">
        <v>0.34</v>
      </c>
      <c r="F113" s="174">
        <v>0</v>
      </c>
      <c r="G113" s="174">
        <v>0</v>
      </c>
      <c r="H113" s="174">
        <v>0</v>
      </c>
      <c r="I113" s="174">
        <v>0</v>
      </c>
      <c r="J113" s="174">
        <v>0</v>
      </c>
      <c r="K113" s="174">
        <v>0</v>
      </c>
      <c r="L113" s="174">
        <v>0</v>
      </c>
      <c r="M113" s="174">
        <v>0</v>
      </c>
      <c r="N113" s="174">
        <v>0</v>
      </c>
      <c r="O113" s="174">
        <v>0</v>
      </c>
      <c r="P113" s="174">
        <v>0</v>
      </c>
      <c r="Q113" s="174">
        <v>0</v>
      </c>
      <c r="R113" s="174">
        <v>0</v>
      </c>
      <c r="S113" s="174">
        <v>0</v>
      </c>
      <c r="T113" s="174">
        <v>0</v>
      </c>
      <c r="U113" s="174">
        <v>0</v>
      </c>
      <c r="V113" s="174">
        <v>0</v>
      </c>
      <c r="W113" s="174">
        <v>0</v>
      </c>
      <c r="X113" s="174">
        <v>0</v>
      </c>
      <c r="Y113" s="174">
        <v>0</v>
      </c>
      <c r="Z113" s="174">
        <v>0</v>
      </c>
      <c r="AA113" s="174">
        <v>0</v>
      </c>
      <c r="AB113" s="174">
        <v>0</v>
      </c>
      <c r="AC113" s="174">
        <v>0</v>
      </c>
      <c r="AD113" s="174">
        <v>0</v>
      </c>
      <c r="AE113" s="174">
        <v>0</v>
      </c>
      <c r="AF113" s="174">
        <v>0</v>
      </c>
      <c r="AG113" s="174">
        <v>0</v>
      </c>
      <c r="AH113" s="174">
        <v>0</v>
      </c>
      <c r="AI113" s="174">
        <v>0</v>
      </c>
      <c r="AJ113" s="174">
        <v>0</v>
      </c>
      <c r="AK113" s="174">
        <v>0</v>
      </c>
      <c r="AL113" s="174">
        <v>0</v>
      </c>
      <c r="AM113" s="174">
        <v>0</v>
      </c>
      <c r="AN113" s="174">
        <v>0</v>
      </c>
      <c r="AO113" s="174">
        <v>0</v>
      </c>
      <c r="AP113" s="174">
        <v>0</v>
      </c>
      <c r="AT113" s="155"/>
      <c r="AU113" s="155"/>
      <c r="AV113" s="155"/>
      <c r="AW113" s="155"/>
      <c r="AX113" s="155"/>
      <c r="AY113" s="155"/>
      <c r="AZ113" s="155"/>
      <c r="BA113" s="155"/>
      <c r="BB113" s="155"/>
      <c r="BC113" s="155"/>
      <c r="BD113" s="155"/>
      <c r="BE113" s="155"/>
      <c r="BF113" s="155"/>
      <c r="BG113" s="155"/>
    </row>
    <row r="114" spans="1:71" ht="12.75" hidden="1" x14ac:dyDescent="0.2">
      <c r="A114" s="166"/>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row>
    <row r="115" spans="1:71" ht="12.75" hidden="1" x14ac:dyDescent="0.2">
      <c r="A115" s="166"/>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row>
    <row r="116" spans="1:71" ht="12.75" hidden="1" x14ac:dyDescent="0.2">
      <c r="A116" s="167"/>
      <c r="B116" s="370" t="s">
        <v>390</v>
      </c>
      <c r="C116" s="371"/>
      <c r="D116" s="370" t="s">
        <v>391</v>
      </c>
      <c r="E116" s="371"/>
      <c r="F116" s="167"/>
      <c r="G116" s="167"/>
      <c r="H116" s="167"/>
      <c r="I116" s="167"/>
      <c r="J116" s="167"/>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row>
    <row r="117" spans="1:71" ht="12.75" hidden="1" x14ac:dyDescent="0.2">
      <c r="A117" s="170" t="s">
        <v>392</v>
      </c>
      <c r="B117" s="176"/>
      <c r="C117" s="167" t="s">
        <v>393</v>
      </c>
      <c r="D117" s="176"/>
      <c r="E117" s="167" t="s">
        <v>393</v>
      </c>
      <c r="F117" s="167"/>
      <c r="G117" s="167"/>
      <c r="H117" s="167"/>
      <c r="I117" s="167"/>
      <c r="J117" s="167"/>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row>
    <row r="118" spans="1:71" ht="25.5" hidden="1" x14ac:dyDescent="0.2">
      <c r="A118" s="170" t="s">
        <v>392</v>
      </c>
      <c r="B118" s="167">
        <f>$B$110*B117</f>
        <v>0</v>
      </c>
      <c r="C118" s="167" t="s">
        <v>394</v>
      </c>
      <c r="D118" s="167">
        <f>$B$110*D117</f>
        <v>0</v>
      </c>
      <c r="E118" s="167" t="s">
        <v>394</v>
      </c>
      <c r="F118" s="170" t="s">
        <v>395</v>
      </c>
      <c r="G118" s="167">
        <f>D117-B117</f>
        <v>0</v>
      </c>
      <c r="H118" s="167" t="s">
        <v>393</v>
      </c>
      <c r="I118" s="167">
        <f>$B$110*G118</f>
        <v>0</v>
      </c>
      <c r="J118" s="167" t="s">
        <v>394</v>
      </c>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row>
    <row r="119" spans="1:71" ht="25.5" hidden="1" x14ac:dyDescent="0.2">
      <c r="A119" s="167"/>
      <c r="B119" s="167"/>
      <c r="C119" s="167"/>
      <c r="D119" s="167"/>
      <c r="E119" s="167"/>
      <c r="F119" s="170" t="s">
        <v>396</v>
      </c>
      <c r="G119" s="167">
        <f>I119/$B$110</f>
        <v>0</v>
      </c>
      <c r="H119" s="167" t="s">
        <v>393</v>
      </c>
      <c r="I119" s="176"/>
      <c r="J119" s="167" t="s">
        <v>394</v>
      </c>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row>
    <row r="120" spans="1:71" ht="38.25" hidden="1" x14ac:dyDescent="0.2">
      <c r="A120" s="177"/>
      <c r="B120" s="178"/>
      <c r="C120" s="178"/>
      <c r="D120" s="178"/>
      <c r="E120" s="178"/>
      <c r="F120" s="179" t="s">
        <v>397</v>
      </c>
      <c r="G120" s="167">
        <f>G118</f>
        <v>0</v>
      </c>
      <c r="H120" s="167" t="s">
        <v>393</v>
      </c>
      <c r="I120" s="172">
        <f>I118</f>
        <v>0</v>
      </c>
      <c r="J120" s="167" t="s">
        <v>394</v>
      </c>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row>
    <row r="121" spans="1:71" ht="12.75" hidden="1" x14ac:dyDescent="0.2">
      <c r="A121" s="180"/>
      <c r="B121" s="76"/>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row>
    <row r="122" spans="1:71" hidden="1" x14ac:dyDescent="0.2">
      <c r="A122" s="181" t="s">
        <v>398</v>
      </c>
      <c r="B122" s="182">
        <f>'6.2. Паспорт фин осв ввод'!C24</f>
        <v>203.75242108</v>
      </c>
      <c r="C122" s="76"/>
      <c r="D122" s="372" t="s">
        <v>317</v>
      </c>
      <c r="E122" s="183" t="s">
        <v>399</v>
      </c>
      <c r="F122" s="184">
        <v>35</v>
      </c>
      <c r="G122" s="373" t="s">
        <v>400</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1" t="s">
        <v>317</v>
      </c>
      <c r="B123" s="185">
        <v>30</v>
      </c>
      <c r="C123" s="76"/>
      <c r="D123" s="372"/>
      <c r="E123" s="183" t="s">
        <v>143</v>
      </c>
      <c r="F123" s="184">
        <v>30</v>
      </c>
      <c r="G123" s="373"/>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1" t="s">
        <v>401</v>
      </c>
      <c r="B124" s="185" t="s">
        <v>53</v>
      </c>
      <c r="C124" s="186" t="s">
        <v>402</v>
      </c>
      <c r="D124" s="372"/>
      <c r="E124" s="183" t="s">
        <v>403</v>
      </c>
      <c r="F124" s="184">
        <v>30</v>
      </c>
      <c r="G124" s="373"/>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7"/>
      <c r="B125" s="188"/>
      <c r="C125" s="186"/>
      <c r="D125" s="372"/>
      <c r="E125" s="183" t="s">
        <v>404</v>
      </c>
      <c r="F125" s="184">
        <v>30</v>
      </c>
      <c r="G125" s="373"/>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1" t="s">
        <v>405</v>
      </c>
      <c r="B126" s="189">
        <f>$B$122*1000*1000</f>
        <v>203752421.08000001</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1" t="s">
        <v>406</v>
      </c>
      <c r="B127" s="190">
        <v>0.03</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0"/>
      <c r="B128" s="191"/>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1" t="s">
        <v>407</v>
      </c>
      <c r="B129" s="192">
        <v>0.1371</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193"/>
      <c r="B130" s="194"/>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5" hidden="1" x14ac:dyDescent="0.2">
      <c r="A131" s="195"/>
      <c r="B131" s="196">
        <v>2024</v>
      </c>
      <c r="C131" s="197">
        <v>2025</v>
      </c>
      <c r="D131" s="197">
        <v>2026</v>
      </c>
      <c r="E131" s="197">
        <v>2027</v>
      </c>
      <c r="F131" s="197">
        <v>2028</v>
      </c>
      <c r="G131" s="197">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98" t="s">
        <v>388</v>
      </c>
      <c r="B132" s="199">
        <v>2449.0500000000002</v>
      </c>
      <c r="C132" s="199">
        <v>2750.9</v>
      </c>
      <c r="D132" s="199">
        <v>3022.14</v>
      </c>
      <c r="E132" s="199">
        <v>3178.91</v>
      </c>
      <c r="F132" s="199">
        <v>3307.64</v>
      </c>
      <c r="G132" s="199">
        <v>3439.95</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0"/>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1" t="s">
        <v>408</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1"/>
      <c r="B135" s="200">
        <v>2023</v>
      </c>
      <c r="C135" s="200">
        <f>B135+1</f>
        <v>2024</v>
      </c>
      <c r="D135" s="200">
        <f t="shared" ref="D135:AY135" si="45">C135+1</f>
        <v>2025</v>
      </c>
      <c r="E135" s="200">
        <f t="shared" si="45"/>
        <v>2026</v>
      </c>
      <c r="F135" s="200">
        <f t="shared" si="45"/>
        <v>2027</v>
      </c>
      <c r="G135" s="200">
        <f t="shared" si="45"/>
        <v>2028</v>
      </c>
      <c r="H135" s="200">
        <f t="shared" si="45"/>
        <v>2029</v>
      </c>
      <c r="I135" s="200">
        <f t="shared" si="45"/>
        <v>2030</v>
      </c>
      <c r="J135" s="200">
        <f t="shared" si="45"/>
        <v>2031</v>
      </c>
      <c r="K135" s="200">
        <f t="shared" si="45"/>
        <v>2032</v>
      </c>
      <c r="L135" s="200">
        <f t="shared" si="45"/>
        <v>2033</v>
      </c>
      <c r="M135" s="200">
        <f t="shared" si="45"/>
        <v>2034</v>
      </c>
      <c r="N135" s="200">
        <f t="shared" si="45"/>
        <v>2035</v>
      </c>
      <c r="O135" s="200">
        <f t="shared" si="45"/>
        <v>2036</v>
      </c>
      <c r="P135" s="200">
        <f t="shared" si="45"/>
        <v>2037</v>
      </c>
      <c r="Q135" s="200">
        <f t="shared" si="45"/>
        <v>2038</v>
      </c>
      <c r="R135" s="200">
        <f t="shared" si="45"/>
        <v>2039</v>
      </c>
      <c r="S135" s="200">
        <f t="shared" si="45"/>
        <v>2040</v>
      </c>
      <c r="T135" s="200">
        <f t="shared" si="45"/>
        <v>2041</v>
      </c>
      <c r="U135" s="200">
        <f t="shared" si="45"/>
        <v>2042</v>
      </c>
      <c r="V135" s="200">
        <f t="shared" si="45"/>
        <v>2043</v>
      </c>
      <c r="W135" s="200">
        <f t="shared" si="45"/>
        <v>2044</v>
      </c>
      <c r="X135" s="200">
        <f t="shared" si="45"/>
        <v>2045</v>
      </c>
      <c r="Y135" s="200">
        <f t="shared" si="45"/>
        <v>2046</v>
      </c>
      <c r="Z135" s="200">
        <f t="shared" si="45"/>
        <v>2047</v>
      </c>
      <c r="AA135" s="200">
        <f t="shared" si="45"/>
        <v>2048</v>
      </c>
      <c r="AB135" s="200">
        <f t="shared" si="45"/>
        <v>2049</v>
      </c>
      <c r="AC135" s="200">
        <f t="shared" si="45"/>
        <v>2050</v>
      </c>
      <c r="AD135" s="200">
        <f t="shared" si="45"/>
        <v>2051</v>
      </c>
      <c r="AE135" s="200">
        <f t="shared" si="45"/>
        <v>2052</v>
      </c>
      <c r="AF135" s="200">
        <f t="shared" si="45"/>
        <v>2053</v>
      </c>
      <c r="AG135" s="200">
        <f t="shared" si="45"/>
        <v>2054</v>
      </c>
      <c r="AH135" s="200">
        <f t="shared" si="45"/>
        <v>2055</v>
      </c>
      <c r="AI135" s="200">
        <f t="shared" si="45"/>
        <v>2056</v>
      </c>
      <c r="AJ135" s="200">
        <f t="shared" si="45"/>
        <v>2057</v>
      </c>
      <c r="AK135" s="200">
        <f t="shared" si="45"/>
        <v>2058</v>
      </c>
      <c r="AL135" s="200">
        <f t="shared" si="45"/>
        <v>2059</v>
      </c>
      <c r="AM135" s="200">
        <f t="shared" si="45"/>
        <v>2060</v>
      </c>
      <c r="AN135" s="200">
        <f t="shared" si="45"/>
        <v>2061</v>
      </c>
      <c r="AO135" s="200">
        <f t="shared" si="45"/>
        <v>2062</v>
      </c>
      <c r="AP135" s="200">
        <f t="shared" si="45"/>
        <v>2063</v>
      </c>
      <c r="AQ135" s="200">
        <f t="shared" si="45"/>
        <v>2064</v>
      </c>
      <c r="AR135" s="200">
        <f t="shared" si="45"/>
        <v>2065</v>
      </c>
      <c r="AS135" s="200">
        <f t="shared" si="45"/>
        <v>2066</v>
      </c>
      <c r="AT135" s="200">
        <f t="shared" si="45"/>
        <v>2067</v>
      </c>
      <c r="AU135" s="200">
        <f t="shared" si="45"/>
        <v>2068</v>
      </c>
      <c r="AV135" s="200">
        <f t="shared" si="45"/>
        <v>2069</v>
      </c>
      <c r="AW135" s="200">
        <f t="shared" si="45"/>
        <v>2070</v>
      </c>
      <c r="AX135" s="200">
        <f t="shared" si="45"/>
        <v>2071</v>
      </c>
      <c r="AY135" s="200">
        <f t="shared" si="45"/>
        <v>2072</v>
      </c>
    </row>
    <row r="136" spans="1:51" ht="12.75" hidden="1" x14ac:dyDescent="0.2">
      <c r="A136" s="181" t="s">
        <v>409</v>
      </c>
      <c r="B136" s="201">
        <v>9.0964662608273128E-2</v>
      </c>
      <c r="C136" s="201">
        <v>9.1135032622053413E-2</v>
      </c>
      <c r="D136" s="201">
        <v>7.8163170639641913E-2</v>
      </c>
      <c r="E136" s="201">
        <v>5.2628968689616612E-2</v>
      </c>
      <c r="F136" s="201">
        <v>4.4208979893394937E-2</v>
      </c>
      <c r="G136" s="201">
        <f>F136</f>
        <v>4.4208979893394937E-2</v>
      </c>
      <c r="H136" s="201">
        <f>G136</f>
        <v>4.4208979893394937E-2</v>
      </c>
      <c r="I136" s="201">
        <f t="shared" ref="I136:AY136" si="46">H136</f>
        <v>4.4208979893394937E-2</v>
      </c>
      <c r="J136" s="201">
        <f t="shared" si="46"/>
        <v>4.4208979893394937E-2</v>
      </c>
      <c r="K136" s="201">
        <f t="shared" si="46"/>
        <v>4.4208979893394937E-2</v>
      </c>
      <c r="L136" s="201">
        <f t="shared" si="46"/>
        <v>4.4208979893394937E-2</v>
      </c>
      <c r="M136" s="201">
        <f t="shared" si="46"/>
        <v>4.4208979893394937E-2</v>
      </c>
      <c r="N136" s="201">
        <f t="shared" si="46"/>
        <v>4.4208979893394937E-2</v>
      </c>
      <c r="O136" s="201">
        <f t="shared" si="46"/>
        <v>4.4208979893394937E-2</v>
      </c>
      <c r="P136" s="201">
        <f t="shared" si="46"/>
        <v>4.4208979893394937E-2</v>
      </c>
      <c r="Q136" s="201">
        <f t="shared" si="46"/>
        <v>4.4208979893394937E-2</v>
      </c>
      <c r="R136" s="201">
        <f t="shared" si="46"/>
        <v>4.4208979893394937E-2</v>
      </c>
      <c r="S136" s="201">
        <f t="shared" si="46"/>
        <v>4.4208979893394937E-2</v>
      </c>
      <c r="T136" s="201">
        <f t="shared" si="46"/>
        <v>4.4208979893394937E-2</v>
      </c>
      <c r="U136" s="201">
        <f t="shared" si="46"/>
        <v>4.4208979893394937E-2</v>
      </c>
      <c r="V136" s="201">
        <f t="shared" si="46"/>
        <v>4.4208979893394937E-2</v>
      </c>
      <c r="W136" s="201">
        <f t="shared" si="46"/>
        <v>4.4208979893394937E-2</v>
      </c>
      <c r="X136" s="201">
        <f t="shared" si="46"/>
        <v>4.4208979893394937E-2</v>
      </c>
      <c r="Y136" s="201">
        <f t="shared" si="46"/>
        <v>4.4208979893394937E-2</v>
      </c>
      <c r="Z136" s="201">
        <f t="shared" si="46"/>
        <v>4.4208979893394937E-2</v>
      </c>
      <c r="AA136" s="201">
        <f t="shared" si="46"/>
        <v>4.4208979893394937E-2</v>
      </c>
      <c r="AB136" s="201">
        <f t="shared" si="46"/>
        <v>4.4208979893394937E-2</v>
      </c>
      <c r="AC136" s="201">
        <f t="shared" si="46"/>
        <v>4.4208979893394937E-2</v>
      </c>
      <c r="AD136" s="201">
        <f t="shared" si="46"/>
        <v>4.4208979893394937E-2</v>
      </c>
      <c r="AE136" s="201">
        <f t="shared" si="46"/>
        <v>4.4208979893394937E-2</v>
      </c>
      <c r="AF136" s="201">
        <f t="shared" si="46"/>
        <v>4.4208979893394937E-2</v>
      </c>
      <c r="AG136" s="201">
        <f t="shared" si="46"/>
        <v>4.4208979893394937E-2</v>
      </c>
      <c r="AH136" s="201">
        <f t="shared" si="46"/>
        <v>4.4208979893394937E-2</v>
      </c>
      <c r="AI136" s="201">
        <f t="shared" si="46"/>
        <v>4.4208979893394937E-2</v>
      </c>
      <c r="AJ136" s="201">
        <f t="shared" si="46"/>
        <v>4.4208979893394937E-2</v>
      </c>
      <c r="AK136" s="201">
        <f t="shared" si="46"/>
        <v>4.4208979893394937E-2</v>
      </c>
      <c r="AL136" s="201">
        <f t="shared" si="46"/>
        <v>4.4208979893394937E-2</v>
      </c>
      <c r="AM136" s="201">
        <f t="shared" si="46"/>
        <v>4.4208979893394937E-2</v>
      </c>
      <c r="AN136" s="201">
        <f t="shared" si="46"/>
        <v>4.4208979893394937E-2</v>
      </c>
      <c r="AO136" s="201">
        <f t="shared" si="46"/>
        <v>4.4208979893394937E-2</v>
      </c>
      <c r="AP136" s="201">
        <f t="shared" si="46"/>
        <v>4.4208979893394937E-2</v>
      </c>
      <c r="AQ136" s="201">
        <f t="shared" si="46"/>
        <v>4.4208979893394937E-2</v>
      </c>
      <c r="AR136" s="201">
        <f t="shared" si="46"/>
        <v>4.4208979893394937E-2</v>
      </c>
      <c r="AS136" s="201">
        <f t="shared" si="46"/>
        <v>4.4208979893394937E-2</v>
      </c>
      <c r="AT136" s="201">
        <f t="shared" si="46"/>
        <v>4.4208979893394937E-2</v>
      </c>
      <c r="AU136" s="201">
        <f t="shared" si="46"/>
        <v>4.4208979893394937E-2</v>
      </c>
      <c r="AV136" s="201">
        <f t="shared" si="46"/>
        <v>4.4208979893394937E-2</v>
      </c>
      <c r="AW136" s="201">
        <f t="shared" si="46"/>
        <v>4.4208979893394937E-2</v>
      </c>
      <c r="AX136" s="201">
        <f t="shared" si="46"/>
        <v>4.4208979893394937E-2</v>
      </c>
      <c r="AY136" s="201">
        <f t="shared" si="46"/>
        <v>4.4208979893394937E-2</v>
      </c>
    </row>
    <row r="137" spans="1:51" ht="15" hidden="1" x14ac:dyDescent="0.2">
      <c r="A137" s="181" t="s">
        <v>410</v>
      </c>
      <c r="B137" s="202">
        <f>B136</f>
        <v>9.0964662608273128E-2</v>
      </c>
      <c r="C137" s="201">
        <v>9.1135032622053413E-2</v>
      </c>
      <c r="D137" s="203">
        <f>(1+C137)*(1+D136)-1</f>
        <v>0.17642160636778237</v>
      </c>
      <c r="E137" s="203">
        <f>(1+D137)*(1+E136)-1</f>
        <v>0.23833546225510083</v>
      </c>
      <c r="F137" s="203">
        <f t="shared" ref="F137:AY137" si="47">(1+E137)*(1+F136)-1</f>
        <v>0.29308100980721452</v>
      </c>
      <c r="G137" s="203">
        <f>(1+F137)*(1+G136)-1</f>
        <v>0.35024680217031245</v>
      </c>
      <c r="H137" s="203">
        <f t="shared" si="47"/>
        <v>0.40993983589858063</v>
      </c>
      <c r="I137" s="203">
        <f t="shared" si="47"/>
        <v>0.47227183775471748</v>
      </c>
      <c r="J137" s="203">
        <f t="shared" si="47"/>
        <v>0.53735947382762728</v>
      </c>
      <c r="K137" s="203">
        <f t="shared" si="47"/>
        <v>0.605324567894993</v>
      </c>
      <c r="L137" s="203">
        <f t="shared" si="47"/>
        <v>0.67629432943943568</v>
      </c>
      <c r="M137" s="203">
        <f t="shared" si="47"/>
        <v>0.75040159174503551</v>
      </c>
      <c r="N137" s="203">
        <f t="shared" si="47"/>
        <v>0.82778506051985823</v>
      </c>
      <c r="O137" s="203">
        <f t="shared" si="47"/>
        <v>0.90858957350982816</v>
      </c>
      <c r="P137" s="203">
        <f t="shared" si="47"/>
        <v>0.99296637158986734</v>
      </c>
      <c r="Q137" s="203">
        <f t="shared" si="47"/>
        <v>1.0810733818396958</v>
      </c>
      <c r="R137" s="203">
        <f t="shared" si="47"/>
        <v>1.1730755131341262</v>
      </c>
      <c r="S137" s="203">
        <f t="shared" si="47"/>
        <v>1.2691449648011015</v>
      </c>
      <c r="T137" s="203">
        <f t="shared" si="47"/>
        <v>1.3694615489251918</v>
      </c>
      <c r="U137" s="203">
        <f t="shared" si="47"/>
        <v>1.4742130268997977</v>
      </c>
      <c r="V137" s="203">
        <f t="shared" si="47"/>
        <v>1.5835954608579867</v>
      </c>
      <c r="W137" s="203">
        <f t="shared" si="47"/>
        <v>1.6978135806397239</v>
      </c>
      <c r="X137" s="203">
        <f t="shared" si="47"/>
        <v>1.8170811669823532</v>
      </c>
      <c r="Y137" s="203">
        <f t="shared" si="47"/>
        <v>1.9416214516515375</v>
      </c>
      <c r="Z137" s="203">
        <f t="shared" si="47"/>
        <v>2.0716675352615797</v>
      </c>
      <c r="AA137" s="203">
        <f t="shared" si="47"/>
        <v>2.2074628235671527</v>
      </c>
      <c r="AB137" s="203">
        <f t="shared" si="47"/>
        <v>2.3492614830430445</v>
      </c>
      <c r="AC137" s="203">
        <f t="shared" si="47"/>
        <v>2.4973289166046162</v>
      </c>
      <c r="AD137" s="203">
        <f t="shared" si="47"/>
        <v>2.6519422603593781</v>
      </c>
      <c r="AE137" s="203">
        <f t="shared" si="47"/>
        <v>2.813390902319445</v>
      </c>
      <c r="AF137" s="203">
        <f t="shared" si="47"/>
        <v>2.9819770240457402</v>
      </c>
      <c r="AG137" s="203">
        <f t="shared" si="47"/>
        <v>3.1580161662377391</v>
      </c>
      <c r="AH137" s="203">
        <f t="shared" si="47"/>
        <v>3.3418378193273544</v>
      </c>
      <c r="AI137" s="203">
        <f t="shared" si="47"/>
        <v>3.5337860401823793</v>
      </c>
      <c r="AJ137" s="203">
        <f t="shared" si="47"/>
        <v>3.7342200960737566</v>
      </c>
      <c r="AK137" s="203">
        <f t="shared" si="47"/>
        <v>3.9435151371119872</v>
      </c>
      <c r="AL137" s="203">
        <f t="shared" si="47"/>
        <v>4.1620628984112642</v>
      </c>
      <c r="AM137" s="203">
        <f t="shared" si="47"/>
        <v>4.3902724332955678</v>
      </c>
      <c r="AN137" s="203">
        <f t="shared" si="47"/>
        <v>4.6285708789190521</v>
      </c>
      <c r="AO137" s="203">
        <f t="shared" si="47"/>
        <v>4.8774042557337323</v>
      </c>
      <c r="AP137" s="203">
        <f t="shared" si="47"/>
        <v>5.1372383023008181</v>
      </c>
      <c r="AQ137" s="203">
        <f t="shared" si="47"/>
        <v>5.4085593470082083</v>
      </c>
      <c r="AR137" s="203">
        <f t="shared" si="47"/>
        <v>5.6918752183257224</v>
      </c>
      <c r="AS137" s="203">
        <f t="shared" si="47"/>
        <v>5.9877161953017914</v>
      </c>
      <c r="AT137" s="203">
        <f t="shared" si="47"/>
        <v>6.2966360000806381</v>
      </c>
      <c r="AU137" s="203">
        <f t="shared" si="47"/>
        <v>6.619212834297624</v>
      </c>
      <c r="AV137" s="203">
        <f t="shared" si="47"/>
        <v>6.956050461292584</v>
      </c>
      <c r="AW137" s="203">
        <f>(1+AV137)*(1+AW136)-1</f>
        <v>7.3077793361667034</v>
      </c>
      <c r="AX137" s="203">
        <f t="shared" si="47"/>
        <v>7.6750577857980584</v>
      </c>
      <c r="AY137" s="203">
        <f t="shared" si="47"/>
        <v>8.0585732410244439</v>
      </c>
    </row>
    <row r="138" spans="1:51" hidden="1" x14ac:dyDescent="0.2">
      <c r="B138" s="204"/>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R138" s="76"/>
      <c r="AS138" s="76"/>
    </row>
    <row r="139" spans="1:51" ht="12.75" hidden="1" x14ac:dyDescent="0.2">
      <c r="A139" s="180"/>
      <c r="B139" s="206">
        <f>B135</f>
        <v>2023</v>
      </c>
      <c r="C139" s="206">
        <f>B139+1</f>
        <v>2024</v>
      </c>
      <c r="D139" s="206">
        <f t="shared" ref="D139:S140" si="48">C139+1</f>
        <v>2025</v>
      </c>
      <c r="E139" s="206">
        <f t="shared" si="48"/>
        <v>2026</v>
      </c>
      <c r="F139" s="206">
        <f t="shared" si="48"/>
        <v>2027</v>
      </c>
      <c r="G139" s="206">
        <f t="shared" si="48"/>
        <v>2028</v>
      </c>
      <c r="H139" s="206">
        <f t="shared" si="48"/>
        <v>2029</v>
      </c>
      <c r="I139" s="206">
        <f t="shared" si="48"/>
        <v>2030</v>
      </c>
      <c r="J139" s="206">
        <f t="shared" si="48"/>
        <v>2031</v>
      </c>
      <c r="K139" s="206">
        <f t="shared" si="48"/>
        <v>2032</v>
      </c>
      <c r="L139" s="206">
        <f t="shared" si="48"/>
        <v>2033</v>
      </c>
      <c r="M139" s="206">
        <f t="shared" si="48"/>
        <v>2034</v>
      </c>
      <c r="N139" s="206">
        <f t="shared" si="48"/>
        <v>2035</v>
      </c>
      <c r="O139" s="206">
        <f t="shared" si="48"/>
        <v>2036</v>
      </c>
      <c r="P139" s="206">
        <f t="shared" si="48"/>
        <v>2037</v>
      </c>
      <c r="Q139" s="206">
        <f t="shared" si="48"/>
        <v>2038</v>
      </c>
      <c r="R139" s="206">
        <f t="shared" si="48"/>
        <v>2039</v>
      </c>
      <c r="S139" s="206">
        <f t="shared" si="48"/>
        <v>2040</v>
      </c>
      <c r="T139" s="206">
        <f t="shared" ref="T139:AI140" si="49">S139+1</f>
        <v>2041</v>
      </c>
      <c r="U139" s="206">
        <f t="shared" si="49"/>
        <v>2042</v>
      </c>
      <c r="V139" s="206">
        <f t="shared" si="49"/>
        <v>2043</v>
      </c>
      <c r="W139" s="206">
        <f t="shared" si="49"/>
        <v>2044</v>
      </c>
      <c r="X139" s="206">
        <f t="shared" si="49"/>
        <v>2045</v>
      </c>
      <c r="Y139" s="206">
        <f t="shared" si="49"/>
        <v>2046</v>
      </c>
      <c r="Z139" s="206">
        <f t="shared" si="49"/>
        <v>2047</v>
      </c>
      <c r="AA139" s="206">
        <f t="shared" si="49"/>
        <v>2048</v>
      </c>
      <c r="AB139" s="206">
        <f t="shared" si="49"/>
        <v>2049</v>
      </c>
      <c r="AC139" s="206">
        <f t="shared" si="49"/>
        <v>2050</v>
      </c>
      <c r="AD139" s="206">
        <f t="shared" si="49"/>
        <v>2051</v>
      </c>
      <c r="AE139" s="206">
        <f t="shared" si="49"/>
        <v>2052</v>
      </c>
      <c r="AF139" s="206">
        <f t="shared" si="49"/>
        <v>2053</v>
      </c>
      <c r="AG139" s="206">
        <f t="shared" si="49"/>
        <v>2054</v>
      </c>
      <c r="AH139" s="206">
        <f t="shared" si="49"/>
        <v>2055</v>
      </c>
      <c r="AI139" s="206">
        <f t="shared" si="49"/>
        <v>2056</v>
      </c>
      <c r="AJ139" s="206">
        <f t="shared" ref="AJ139:AY140" si="50">AI139+1</f>
        <v>2057</v>
      </c>
      <c r="AK139" s="206">
        <f t="shared" si="50"/>
        <v>2058</v>
      </c>
      <c r="AL139" s="206">
        <f t="shared" si="50"/>
        <v>2059</v>
      </c>
      <c r="AM139" s="206">
        <f t="shared" si="50"/>
        <v>2060</v>
      </c>
      <c r="AN139" s="206">
        <f t="shared" si="50"/>
        <v>2061</v>
      </c>
      <c r="AO139" s="206">
        <f t="shared" si="50"/>
        <v>2062</v>
      </c>
      <c r="AP139" s="206">
        <f t="shared" si="50"/>
        <v>2063</v>
      </c>
      <c r="AQ139" s="206">
        <f t="shared" si="50"/>
        <v>2064</v>
      </c>
      <c r="AR139" s="206">
        <f t="shared" si="50"/>
        <v>2065</v>
      </c>
      <c r="AS139" s="206">
        <f t="shared" si="50"/>
        <v>2066</v>
      </c>
      <c r="AT139" s="206">
        <f t="shared" si="50"/>
        <v>2067</v>
      </c>
      <c r="AU139" s="206">
        <f t="shared" si="50"/>
        <v>2068</v>
      </c>
      <c r="AV139" s="206">
        <f t="shared" si="50"/>
        <v>2069</v>
      </c>
      <c r="AW139" s="206">
        <f t="shared" si="50"/>
        <v>2070</v>
      </c>
      <c r="AX139" s="206">
        <f t="shared" si="50"/>
        <v>2071</v>
      </c>
      <c r="AY139" s="206">
        <f t="shared" si="50"/>
        <v>2072</v>
      </c>
    </row>
    <row r="140" spans="1:51" hidden="1" x14ac:dyDescent="0.2">
      <c r="A140" s="180">
        <v>0</v>
      </c>
      <c r="B140" s="207">
        <v>0</v>
      </c>
      <c r="C140" s="207">
        <f t="shared" ref="C140" si="51">B140+1</f>
        <v>1</v>
      </c>
      <c r="D140" s="207">
        <f t="shared" si="48"/>
        <v>2</v>
      </c>
      <c r="E140" s="207">
        <f>D140+1</f>
        <v>3</v>
      </c>
      <c r="F140" s="207">
        <f t="shared" si="48"/>
        <v>4</v>
      </c>
      <c r="G140" s="207">
        <f t="shared" si="48"/>
        <v>5</v>
      </c>
      <c r="H140" s="207">
        <f t="shared" si="48"/>
        <v>6</v>
      </c>
      <c r="I140" s="207">
        <f t="shared" si="48"/>
        <v>7</v>
      </c>
      <c r="J140" s="207">
        <f t="shared" si="48"/>
        <v>8</v>
      </c>
      <c r="K140" s="207">
        <f t="shared" si="48"/>
        <v>9</v>
      </c>
      <c r="L140" s="207">
        <f t="shared" si="48"/>
        <v>10</v>
      </c>
      <c r="M140" s="207">
        <f t="shared" si="48"/>
        <v>11</v>
      </c>
      <c r="N140" s="207">
        <f t="shared" si="48"/>
        <v>12</v>
      </c>
      <c r="O140" s="207">
        <f t="shared" si="48"/>
        <v>13</v>
      </c>
      <c r="P140" s="207">
        <f t="shared" si="48"/>
        <v>14</v>
      </c>
      <c r="Q140" s="207">
        <f t="shared" si="48"/>
        <v>15</v>
      </c>
      <c r="R140" s="207">
        <f t="shared" si="48"/>
        <v>16</v>
      </c>
      <c r="S140" s="207">
        <f t="shared" si="48"/>
        <v>17</v>
      </c>
      <c r="T140" s="207">
        <f t="shared" si="49"/>
        <v>18</v>
      </c>
      <c r="U140" s="207">
        <f t="shared" si="49"/>
        <v>19</v>
      </c>
      <c r="V140" s="207">
        <f t="shared" si="49"/>
        <v>20</v>
      </c>
      <c r="W140" s="207">
        <f t="shared" si="49"/>
        <v>21</v>
      </c>
      <c r="X140" s="207">
        <f t="shared" si="49"/>
        <v>22</v>
      </c>
      <c r="Y140" s="207">
        <f t="shared" si="49"/>
        <v>23</v>
      </c>
      <c r="Z140" s="207">
        <f t="shared" si="49"/>
        <v>24</v>
      </c>
      <c r="AA140" s="207">
        <f t="shared" si="49"/>
        <v>25</v>
      </c>
      <c r="AB140" s="207">
        <f t="shared" si="49"/>
        <v>26</v>
      </c>
      <c r="AC140" s="207">
        <f t="shared" si="49"/>
        <v>27</v>
      </c>
      <c r="AD140" s="207">
        <f t="shared" si="49"/>
        <v>28</v>
      </c>
      <c r="AE140" s="207">
        <f t="shared" si="49"/>
        <v>29</v>
      </c>
      <c r="AF140" s="207">
        <f t="shared" si="49"/>
        <v>30</v>
      </c>
      <c r="AG140" s="207">
        <f t="shared" si="49"/>
        <v>31</v>
      </c>
      <c r="AH140" s="207">
        <f t="shared" si="49"/>
        <v>32</v>
      </c>
      <c r="AI140" s="207">
        <f t="shared" si="49"/>
        <v>33</v>
      </c>
      <c r="AJ140" s="207">
        <f t="shared" si="50"/>
        <v>34</v>
      </c>
      <c r="AK140" s="207">
        <f t="shared" si="50"/>
        <v>35</v>
      </c>
      <c r="AL140" s="207">
        <f t="shared" si="50"/>
        <v>36</v>
      </c>
      <c r="AM140" s="207">
        <f t="shared" si="50"/>
        <v>37</v>
      </c>
      <c r="AN140" s="207">
        <f t="shared" si="50"/>
        <v>38</v>
      </c>
      <c r="AO140" s="207">
        <f t="shared" si="50"/>
        <v>39</v>
      </c>
      <c r="AP140" s="207">
        <f>AO140+1</f>
        <v>40</v>
      </c>
      <c r="AQ140" s="207">
        <f t="shared" si="50"/>
        <v>41</v>
      </c>
      <c r="AR140" s="207">
        <f t="shared" si="50"/>
        <v>42</v>
      </c>
      <c r="AS140" s="207">
        <f t="shared" si="50"/>
        <v>43</v>
      </c>
      <c r="AT140" s="207">
        <f t="shared" si="50"/>
        <v>44</v>
      </c>
      <c r="AU140" s="207">
        <f t="shared" si="50"/>
        <v>45</v>
      </c>
      <c r="AV140" s="207">
        <f t="shared" si="50"/>
        <v>46</v>
      </c>
      <c r="AW140" s="207">
        <f t="shared" si="50"/>
        <v>47</v>
      </c>
      <c r="AX140" s="207">
        <f t="shared" si="50"/>
        <v>48</v>
      </c>
      <c r="AY140" s="207">
        <f t="shared" si="50"/>
        <v>49</v>
      </c>
    </row>
    <row r="141" spans="1:51" ht="15" hidden="1" x14ac:dyDescent="0.2">
      <c r="A141" s="180"/>
      <c r="B141" s="208">
        <f>AVERAGE(A140:B140)</f>
        <v>0</v>
      </c>
      <c r="C141" s="208">
        <f>AVERAGE(B140:C140)</f>
        <v>0.5</v>
      </c>
      <c r="D141" s="208">
        <f>AVERAGE(C140:D140)</f>
        <v>1.5</v>
      </c>
      <c r="E141" s="208">
        <f>AVERAGE(D140:E140)</f>
        <v>2.5</v>
      </c>
      <c r="F141" s="208">
        <f t="shared" ref="F141:AO141" si="52">AVERAGE(E140:F140)</f>
        <v>3.5</v>
      </c>
      <c r="G141" s="208">
        <f t="shared" si="52"/>
        <v>4.5</v>
      </c>
      <c r="H141" s="208">
        <f t="shared" si="52"/>
        <v>5.5</v>
      </c>
      <c r="I141" s="208">
        <f t="shared" si="52"/>
        <v>6.5</v>
      </c>
      <c r="J141" s="208">
        <f t="shared" si="52"/>
        <v>7.5</v>
      </c>
      <c r="K141" s="208">
        <f t="shared" si="52"/>
        <v>8.5</v>
      </c>
      <c r="L141" s="208">
        <f t="shared" si="52"/>
        <v>9.5</v>
      </c>
      <c r="M141" s="208">
        <f t="shared" si="52"/>
        <v>10.5</v>
      </c>
      <c r="N141" s="208">
        <f t="shared" si="52"/>
        <v>11.5</v>
      </c>
      <c r="O141" s="208">
        <f t="shared" si="52"/>
        <v>12.5</v>
      </c>
      <c r="P141" s="208">
        <f t="shared" si="52"/>
        <v>13.5</v>
      </c>
      <c r="Q141" s="208">
        <f t="shared" si="52"/>
        <v>14.5</v>
      </c>
      <c r="R141" s="208">
        <f t="shared" si="52"/>
        <v>15.5</v>
      </c>
      <c r="S141" s="208">
        <f t="shared" si="52"/>
        <v>16.5</v>
      </c>
      <c r="T141" s="208">
        <f t="shared" si="52"/>
        <v>17.5</v>
      </c>
      <c r="U141" s="208">
        <f t="shared" si="52"/>
        <v>18.5</v>
      </c>
      <c r="V141" s="208">
        <f t="shared" si="52"/>
        <v>19.5</v>
      </c>
      <c r="W141" s="208">
        <f t="shared" si="52"/>
        <v>20.5</v>
      </c>
      <c r="X141" s="208">
        <f t="shared" si="52"/>
        <v>21.5</v>
      </c>
      <c r="Y141" s="208">
        <f t="shared" si="52"/>
        <v>22.5</v>
      </c>
      <c r="Z141" s="208">
        <f t="shared" si="52"/>
        <v>23.5</v>
      </c>
      <c r="AA141" s="208">
        <f t="shared" si="52"/>
        <v>24.5</v>
      </c>
      <c r="AB141" s="208">
        <f t="shared" si="52"/>
        <v>25.5</v>
      </c>
      <c r="AC141" s="208">
        <f t="shared" si="52"/>
        <v>26.5</v>
      </c>
      <c r="AD141" s="208">
        <f t="shared" si="52"/>
        <v>27.5</v>
      </c>
      <c r="AE141" s="208">
        <f t="shared" si="52"/>
        <v>28.5</v>
      </c>
      <c r="AF141" s="208">
        <f t="shared" si="52"/>
        <v>29.5</v>
      </c>
      <c r="AG141" s="208">
        <f t="shared" si="52"/>
        <v>30.5</v>
      </c>
      <c r="AH141" s="208">
        <f t="shared" si="52"/>
        <v>31.5</v>
      </c>
      <c r="AI141" s="208">
        <f t="shared" si="52"/>
        <v>32.5</v>
      </c>
      <c r="AJ141" s="208">
        <f t="shared" si="52"/>
        <v>33.5</v>
      </c>
      <c r="AK141" s="208">
        <f t="shared" si="52"/>
        <v>34.5</v>
      </c>
      <c r="AL141" s="208">
        <f t="shared" si="52"/>
        <v>35.5</v>
      </c>
      <c r="AM141" s="208">
        <f t="shared" si="52"/>
        <v>36.5</v>
      </c>
      <c r="AN141" s="208">
        <f t="shared" si="52"/>
        <v>37.5</v>
      </c>
      <c r="AO141" s="208">
        <f t="shared" si="52"/>
        <v>38.5</v>
      </c>
      <c r="AP141" s="208">
        <f>AVERAGE(AO140:AP140)</f>
        <v>39.5</v>
      </c>
      <c r="AQ141" s="208">
        <f t="shared" ref="AQ141:AY141" si="53">AVERAGE(AP140:AQ140)</f>
        <v>40.5</v>
      </c>
      <c r="AR141" s="208">
        <f t="shared" si="53"/>
        <v>41.5</v>
      </c>
      <c r="AS141" s="208">
        <f t="shared" si="53"/>
        <v>42.5</v>
      </c>
      <c r="AT141" s="208">
        <f t="shared" si="53"/>
        <v>43.5</v>
      </c>
      <c r="AU141" s="208">
        <f t="shared" si="53"/>
        <v>44.5</v>
      </c>
      <c r="AV141" s="208">
        <f t="shared" si="53"/>
        <v>45.5</v>
      </c>
      <c r="AW141" s="208">
        <f t="shared" si="53"/>
        <v>46.5</v>
      </c>
      <c r="AX141" s="208">
        <f t="shared" si="53"/>
        <v>47.5</v>
      </c>
      <c r="AY141" s="208">
        <f t="shared" si="53"/>
        <v>48.5</v>
      </c>
    </row>
    <row r="142" spans="1:51" ht="12.75" hidden="1" x14ac:dyDescent="0.2">
      <c r="A142" s="180"/>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hidden="1" x14ac:dyDescent="0.2">
      <c r="A143" s="180"/>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hidden="1" x14ac:dyDescent="0.2">
      <c r="A144" s="180"/>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x14ac:dyDescent="0.2">
      <c r="A145" s="180"/>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x14ac:dyDescent="0.2">
      <c r="A146" s="180"/>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x14ac:dyDescent="0.2">
      <c r="A147" s="180"/>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x14ac:dyDescent="0.2">
      <c r="A148" s="180"/>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x14ac:dyDescent="0.2">
      <c r="A149" s="180"/>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x14ac:dyDescent="0.2">
      <c r="A150" s="180"/>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x14ac:dyDescent="0.2">
      <c r="A151" s="180"/>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x14ac:dyDescent="0.2">
      <c r="A152" s="180"/>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x14ac:dyDescent="0.2">
      <c r="A153" s="180"/>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x14ac:dyDescent="0.2">
      <c r="A154" s="180"/>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x14ac:dyDescent="0.2">
      <c r="A155" s="180"/>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x14ac:dyDescent="0.2">
      <c r="A156" s="166"/>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row>
    <row r="157" spans="1:71" ht="12.75" x14ac:dyDescent="0.2">
      <c r="A157" s="166"/>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row>
    <row r="158" spans="1:71" ht="12.75" x14ac:dyDescent="0.2">
      <c r="A158" s="166"/>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row>
    <row r="159" spans="1:71" ht="12.75" x14ac:dyDescent="0.2">
      <c r="A159" s="166"/>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row>
    <row r="160" spans="1:71" ht="12.75" x14ac:dyDescent="0.2">
      <c r="A160" s="166"/>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row>
    <row r="161" spans="1:71" ht="12.75" x14ac:dyDescent="0.2">
      <c r="A161" s="166"/>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row>
    <row r="162" spans="1:71" ht="12.75" x14ac:dyDescent="0.2">
      <c r="A162" s="166"/>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row>
    <row r="163" spans="1:71" ht="12.75" x14ac:dyDescent="0.2">
      <c r="A163" s="166"/>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row>
    <row r="164" spans="1:71" ht="12.75" x14ac:dyDescent="0.2">
      <c r="A164" s="166"/>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row>
    <row r="165" spans="1:71" ht="12.75" x14ac:dyDescent="0.2">
      <c r="A165" s="166"/>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row>
    <row r="166" spans="1:71" ht="12.75" x14ac:dyDescent="0.2">
      <c r="A166" s="166"/>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row>
    <row r="167" spans="1:71" ht="12.75" x14ac:dyDescent="0.2">
      <c r="A167" s="166"/>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row>
    <row r="168" spans="1:71" ht="12.75" x14ac:dyDescent="0.2">
      <c r="A168" s="166"/>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row>
    <row r="169" spans="1:71" ht="12.75" x14ac:dyDescent="0.2">
      <c r="A169" s="166"/>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row>
    <row r="170" spans="1:71" ht="12.75" x14ac:dyDescent="0.2">
      <c r="A170" s="166"/>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row>
    <row r="171" spans="1:71" ht="12.75" x14ac:dyDescent="0.2">
      <c r="A171" s="166"/>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row>
    <row r="172" spans="1:71" ht="12.75" x14ac:dyDescent="0.2">
      <c r="A172" s="166"/>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row>
    <row r="173" spans="1:71" ht="12.75" x14ac:dyDescent="0.2">
      <c r="A173" s="166"/>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row>
    <row r="174" spans="1:71" ht="12.75" x14ac:dyDescent="0.2">
      <c r="A174" s="166"/>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row>
    <row r="175" spans="1:71" ht="12.75" x14ac:dyDescent="0.2">
      <c r="A175" s="166"/>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row>
    <row r="176" spans="1:71" ht="12.75" x14ac:dyDescent="0.2">
      <c r="A176" s="166"/>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row>
    <row r="177" spans="1:71" ht="12.75" x14ac:dyDescent="0.2">
      <c r="A177" s="166"/>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row>
    <row r="178" spans="1:71" ht="12.75" x14ac:dyDescent="0.2">
      <c r="A178" s="166"/>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row>
    <row r="179" spans="1:71" ht="12.75" x14ac:dyDescent="0.2">
      <c r="A179" s="166"/>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row>
    <row r="180" spans="1:71" ht="12.75" x14ac:dyDescent="0.2">
      <c r="A180" s="166"/>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row>
    <row r="181" spans="1:71" ht="12.75" x14ac:dyDescent="0.2">
      <c r="A181" s="166"/>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row>
    <row r="182" spans="1:71" ht="12.75" x14ac:dyDescent="0.2">
      <c r="A182" s="166"/>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row>
    <row r="183" spans="1:71" ht="12.75" x14ac:dyDescent="0.2">
      <c r="A183" s="166"/>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row>
    <row r="184" spans="1:71" ht="12.75" x14ac:dyDescent="0.2">
      <c r="A184" s="166"/>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row>
    <row r="185" spans="1:71" ht="12.75" x14ac:dyDescent="0.2">
      <c r="A185" s="166"/>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row>
    <row r="186" spans="1:71" ht="12.75" x14ac:dyDescent="0.2">
      <c r="A186" s="166"/>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row>
    <row r="187" spans="1:71" ht="12.75" x14ac:dyDescent="0.2">
      <c r="A187" s="166"/>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row>
    <row r="188" spans="1:71" ht="12.75" x14ac:dyDescent="0.2">
      <c r="A188" s="166"/>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row>
    <row r="189" spans="1:71" ht="12.75" x14ac:dyDescent="0.2">
      <c r="A189" s="166"/>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row>
    <row r="190" spans="1:71" ht="12.75" x14ac:dyDescent="0.2">
      <c r="A190" s="166"/>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row>
    <row r="191" spans="1:71" ht="12.75" x14ac:dyDescent="0.2">
      <c r="A191" s="166"/>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row>
    <row r="192" spans="1:71" ht="12.75" x14ac:dyDescent="0.2">
      <c r="A192" s="166"/>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row>
    <row r="193" spans="1:71" ht="12.75" x14ac:dyDescent="0.2">
      <c r="A193" s="166"/>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row>
    <row r="194" spans="1:71" ht="12.75" x14ac:dyDescent="0.2">
      <c r="A194" s="166"/>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row>
    <row r="195" spans="1:71" ht="12.75" x14ac:dyDescent="0.2">
      <c r="A195" s="166"/>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row>
    <row r="196" spans="1:71" ht="12.75" x14ac:dyDescent="0.2">
      <c r="A196" s="166"/>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row>
    <row r="197" spans="1:71" ht="12.75" x14ac:dyDescent="0.2">
      <c r="A197" s="166"/>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row>
    <row r="198" spans="1:71" ht="12.75" x14ac:dyDescent="0.2">
      <c r="A198" s="166"/>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row>
    <row r="199" spans="1:71" ht="12.75" x14ac:dyDescent="0.2">
      <c r="A199" s="166"/>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row>
    <row r="200" spans="1:71" ht="12.75" x14ac:dyDescent="0.2">
      <c r="A200" s="166"/>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row>
    <row r="201" spans="1:71" ht="12.75" x14ac:dyDescent="0.2">
      <c r="A201" s="166"/>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row>
    <row r="202" spans="1:71" ht="12.75" x14ac:dyDescent="0.2">
      <c r="A202" s="166"/>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row>
    <row r="203" spans="1:71" ht="12.75" x14ac:dyDescent="0.2">
      <c r="A203" s="166"/>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row>
    <row r="204" spans="1:71" ht="12.75" x14ac:dyDescent="0.2">
      <c r="A204" s="166"/>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row>
    <row r="205" spans="1:71" ht="12.75" x14ac:dyDescent="0.2">
      <c r="A205" s="166"/>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row>
    <row r="206" spans="1:71" ht="12.75" x14ac:dyDescent="0.2">
      <c r="A206" s="166"/>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row>
    <row r="207" spans="1:71" ht="12.75" x14ac:dyDescent="0.2">
      <c r="A207" s="166"/>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row>
    <row r="208" spans="1:71" ht="12.75" x14ac:dyDescent="0.2">
      <c r="A208" s="166"/>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0" zoomScale="60" workbookViewId="0">
      <selection activeCell="I27" sqref="I27"/>
    </sheetView>
  </sheetViews>
  <sheetFormatPr defaultRowHeight="15.75" x14ac:dyDescent="0.25"/>
  <cols>
    <col min="1" max="1" width="9.140625" style="209"/>
    <col min="2" max="2" width="37.7109375" style="209" customWidth="1"/>
    <col min="3" max="6" width="17.28515625" style="209" customWidth="1"/>
    <col min="7" max="8" width="17.28515625" style="209" hidden="1" customWidth="1"/>
    <col min="9" max="10" width="18.28515625" style="209" customWidth="1"/>
    <col min="11" max="11" width="64.85546875" style="209" customWidth="1"/>
    <col min="12" max="12" width="32.28515625" style="209" customWidth="1"/>
    <col min="13" max="252" width="9.140625" style="209"/>
    <col min="253" max="253" width="37.7109375" style="209" customWidth="1"/>
    <col min="254" max="254" width="9.140625" style="209"/>
    <col min="255" max="255" width="12.85546875" style="209" customWidth="1"/>
    <col min="256" max="257" width="0" style="209" hidden="1" customWidth="1"/>
    <col min="258" max="258" width="18.28515625" style="209" customWidth="1"/>
    <col min="259" max="259" width="64.85546875" style="209" customWidth="1"/>
    <col min="260" max="263" width="9.140625" style="209"/>
    <col min="264" max="264" width="14.85546875" style="209" customWidth="1"/>
    <col min="265" max="508" width="9.140625" style="209"/>
    <col min="509" max="509" width="37.7109375" style="209" customWidth="1"/>
    <col min="510" max="510" width="9.140625" style="209"/>
    <col min="511" max="511" width="12.85546875" style="209" customWidth="1"/>
    <col min="512" max="513" width="0" style="209" hidden="1" customWidth="1"/>
    <col min="514" max="514" width="18.28515625" style="209" customWidth="1"/>
    <col min="515" max="515" width="64.85546875" style="209" customWidth="1"/>
    <col min="516" max="519" width="9.140625" style="209"/>
    <col min="520" max="520" width="14.85546875" style="209" customWidth="1"/>
    <col min="521" max="764" width="9.140625" style="209"/>
    <col min="765" max="765" width="37.7109375" style="209" customWidth="1"/>
    <col min="766" max="766" width="9.140625" style="209"/>
    <col min="767" max="767" width="12.85546875" style="209" customWidth="1"/>
    <col min="768" max="769" width="0" style="209" hidden="1" customWidth="1"/>
    <col min="770" max="770" width="18.28515625" style="209" customWidth="1"/>
    <col min="771" max="771" width="64.85546875" style="209" customWidth="1"/>
    <col min="772" max="775" width="9.140625" style="209"/>
    <col min="776" max="776" width="14.85546875" style="209" customWidth="1"/>
    <col min="777" max="1020" width="9.140625" style="209"/>
    <col min="1021" max="1021" width="37.7109375" style="209" customWidth="1"/>
    <col min="1022" max="1022" width="9.140625" style="209"/>
    <col min="1023" max="1023" width="12.85546875" style="209" customWidth="1"/>
    <col min="1024" max="1025" width="0" style="209" hidden="1" customWidth="1"/>
    <col min="1026" max="1026" width="18.28515625" style="209" customWidth="1"/>
    <col min="1027" max="1027" width="64.85546875" style="209" customWidth="1"/>
    <col min="1028" max="1031" width="9.140625" style="209"/>
    <col min="1032" max="1032" width="14.85546875" style="209" customWidth="1"/>
    <col min="1033" max="1276" width="9.140625" style="209"/>
    <col min="1277" max="1277" width="37.7109375" style="209" customWidth="1"/>
    <col min="1278" max="1278" width="9.140625" style="209"/>
    <col min="1279" max="1279" width="12.85546875" style="209" customWidth="1"/>
    <col min="1280" max="1281" width="0" style="209" hidden="1" customWidth="1"/>
    <col min="1282" max="1282" width="18.28515625" style="209" customWidth="1"/>
    <col min="1283" max="1283" width="64.85546875" style="209" customWidth="1"/>
    <col min="1284" max="1287" width="9.140625" style="209"/>
    <col min="1288" max="1288" width="14.85546875" style="209" customWidth="1"/>
    <col min="1289" max="1532" width="9.140625" style="209"/>
    <col min="1533" max="1533" width="37.7109375" style="209" customWidth="1"/>
    <col min="1534" max="1534" width="9.140625" style="209"/>
    <col min="1535" max="1535" width="12.85546875" style="209" customWidth="1"/>
    <col min="1536" max="1537" width="0" style="209" hidden="1" customWidth="1"/>
    <col min="1538" max="1538" width="18.28515625" style="209" customWidth="1"/>
    <col min="1539" max="1539" width="64.85546875" style="209" customWidth="1"/>
    <col min="1540" max="1543" width="9.140625" style="209"/>
    <col min="1544" max="1544" width="14.85546875" style="209" customWidth="1"/>
    <col min="1545" max="1788" width="9.140625" style="209"/>
    <col min="1789" max="1789" width="37.7109375" style="209" customWidth="1"/>
    <col min="1790" max="1790" width="9.140625" style="209"/>
    <col min="1791" max="1791" width="12.85546875" style="209" customWidth="1"/>
    <col min="1792" max="1793" width="0" style="209" hidden="1" customWidth="1"/>
    <col min="1794" max="1794" width="18.28515625" style="209" customWidth="1"/>
    <col min="1795" max="1795" width="64.85546875" style="209" customWidth="1"/>
    <col min="1796" max="1799" width="9.140625" style="209"/>
    <col min="1800" max="1800" width="14.85546875" style="209" customWidth="1"/>
    <col min="1801" max="2044" width="9.140625" style="209"/>
    <col min="2045" max="2045" width="37.7109375" style="209" customWidth="1"/>
    <col min="2046" max="2046" width="9.140625" style="209"/>
    <col min="2047" max="2047" width="12.85546875" style="209" customWidth="1"/>
    <col min="2048" max="2049" width="0" style="209" hidden="1" customWidth="1"/>
    <col min="2050" max="2050" width="18.28515625" style="209" customWidth="1"/>
    <col min="2051" max="2051" width="64.85546875" style="209" customWidth="1"/>
    <col min="2052" max="2055" width="9.140625" style="209"/>
    <col min="2056" max="2056" width="14.85546875" style="209" customWidth="1"/>
    <col min="2057" max="2300" width="9.140625" style="209"/>
    <col min="2301" max="2301" width="37.7109375" style="209" customWidth="1"/>
    <col min="2302" max="2302" width="9.140625" style="209"/>
    <col min="2303" max="2303" width="12.85546875" style="209" customWidth="1"/>
    <col min="2304" max="2305" width="0" style="209" hidden="1" customWidth="1"/>
    <col min="2306" max="2306" width="18.28515625" style="209" customWidth="1"/>
    <col min="2307" max="2307" width="64.85546875" style="209" customWidth="1"/>
    <col min="2308" max="2311" width="9.140625" style="209"/>
    <col min="2312" max="2312" width="14.85546875" style="209" customWidth="1"/>
    <col min="2313" max="2556" width="9.140625" style="209"/>
    <col min="2557" max="2557" width="37.7109375" style="209" customWidth="1"/>
    <col min="2558" max="2558" width="9.140625" style="209"/>
    <col min="2559" max="2559" width="12.85546875" style="209" customWidth="1"/>
    <col min="2560" max="2561" width="0" style="209" hidden="1" customWidth="1"/>
    <col min="2562" max="2562" width="18.28515625" style="209" customWidth="1"/>
    <col min="2563" max="2563" width="64.85546875" style="209" customWidth="1"/>
    <col min="2564" max="2567" width="9.140625" style="209"/>
    <col min="2568" max="2568" width="14.85546875" style="209" customWidth="1"/>
    <col min="2569" max="2812" width="9.140625" style="209"/>
    <col min="2813" max="2813" width="37.7109375" style="209" customWidth="1"/>
    <col min="2814" max="2814" width="9.140625" style="209"/>
    <col min="2815" max="2815" width="12.85546875" style="209" customWidth="1"/>
    <col min="2816" max="2817" width="0" style="209" hidden="1" customWidth="1"/>
    <col min="2818" max="2818" width="18.28515625" style="209" customWidth="1"/>
    <col min="2819" max="2819" width="64.85546875" style="209" customWidth="1"/>
    <col min="2820" max="2823" width="9.140625" style="209"/>
    <col min="2824" max="2824" width="14.85546875" style="209" customWidth="1"/>
    <col min="2825" max="3068" width="9.140625" style="209"/>
    <col min="3069" max="3069" width="37.7109375" style="209" customWidth="1"/>
    <col min="3070" max="3070" width="9.140625" style="209"/>
    <col min="3071" max="3071" width="12.85546875" style="209" customWidth="1"/>
    <col min="3072" max="3073" width="0" style="209" hidden="1" customWidth="1"/>
    <col min="3074" max="3074" width="18.28515625" style="209" customWidth="1"/>
    <col min="3075" max="3075" width="64.85546875" style="209" customWidth="1"/>
    <col min="3076" max="3079" width="9.140625" style="209"/>
    <col min="3080" max="3080" width="14.85546875" style="209" customWidth="1"/>
    <col min="3081" max="3324" width="9.140625" style="209"/>
    <col min="3325" max="3325" width="37.7109375" style="209" customWidth="1"/>
    <col min="3326" max="3326" width="9.140625" style="209"/>
    <col min="3327" max="3327" width="12.85546875" style="209" customWidth="1"/>
    <col min="3328" max="3329" width="0" style="209" hidden="1" customWidth="1"/>
    <col min="3330" max="3330" width="18.28515625" style="209" customWidth="1"/>
    <col min="3331" max="3331" width="64.85546875" style="209" customWidth="1"/>
    <col min="3332" max="3335" width="9.140625" style="209"/>
    <col min="3336" max="3336" width="14.85546875" style="209" customWidth="1"/>
    <col min="3337" max="3580" width="9.140625" style="209"/>
    <col min="3581" max="3581" width="37.7109375" style="209" customWidth="1"/>
    <col min="3582" max="3582" width="9.140625" style="209"/>
    <col min="3583" max="3583" width="12.85546875" style="209" customWidth="1"/>
    <col min="3584" max="3585" width="0" style="209" hidden="1" customWidth="1"/>
    <col min="3586" max="3586" width="18.28515625" style="209" customWidth="1"/>
    <col min="3587" max="3587" width="64.85546875" style="209" customWidth="1"/>
    <col min="3588" max="3591" width="9.140625" style="209"/>
    <col min="3592" max="3592" width="14.85546875" style="209" customWidth="1"/>
    <col min="3593" max="3836" width="9.140625" style="209"/>
    <col min="3837" max="3837" width="37.7109375" style="209" customWidth="1"/>
    <col min="3838" max="3838" width="9.140625" style="209"/>
    <col min="3839" max="3839" width="12.85546875" style="209" customWidth="1"/>
    <col min="3840" max="3841" width="0" style="209" hidden="1" customWidth="1"/>
    <col min="3842" max="3842" width="18.28515625" style="209" customWidth="1"/>
    <col min="3843" max="3843" width="64.85546875" style="209" customWidth="1"/>
    <col min="3844" max="3847" width="9.140625" style="209"/>
    <col min="3848" max="3848" width="14.85546875" style="209" customWidth="1"/>
    <col min="3849" max="4092" width="9.140625" style="209"/>
    <col min="4093" max="4093" width="37.7109375" style="209" customWidth="1"/>
    <col min="4094" max="4094" width="9.140625" style="209"/>
    <col min="4095" max="4095" width="12.85546875" style="209" customWidth="1"/>
    <col min="4096" max="4097" width="0" style="209" hidden="1" customWidth="1"/>
    <col min="4098" max="4098" width="18.28515625" style="209" customWidth="1"/>
    <col min="4099" max="4099" width="64.85546875" style="209" customWidth="1"/>
    <col min="4100" max="4103" width="9.140625" style="209"/>
    <col min="4104" max="4104" width="14.85546875" style="209" customWidth="1"/>
    <col min="4105" max="4348" width="9.140625" style="209"/>
    <col min="4349" max="4349" width="37.7109375" style="209" customWidth="1"/>
    <col min="4350" max="4350" width="9.140625" style="209"/>
    <col min="4351" max="4351" width="12.85546875" style="209" customWidth="1"/>
    <col min="4352" max="4353" width="0" style="209" hidden="1" customWidth="1"/>
    <col min="4354" max="4354" width="18.28515625" style="209" customWidth="1"/>
    <col min="4355" max="4355" width="64.85546875" style="209" customWidth="1"/>
    <col min="4356" max="4359" width="9.140625" style="209"/>
    <col min="4360" max="4360" width="14.85546875" style="209" customWidth="1"/>
    <col min="4361" max="4604" width="9.140625" style="209"/>
    <col min="4605" max="4605" width="37.7109375" style="209" customWidth="1"/>
    <col min="4606" max="4606" width="9.140625" style="209"/>
    <col min="4607" max="4607" width="12.85546875" style="209" customWidth="1"/>
    <col min="4608" max="4609" width="0" style="209" hidden="1" customWidth="1"/>
    <col min="4610" max="4610" width="18.28515625" style="209" customWidth="1"/>
    <col min="4611" max="4611" width="64.85546875" style="209" customWidth="1"/>
    <col min="4612" max="4615" width="9.140625" style="209"/>
    <col min="4616" max="4616" width="14.85546875" style="209" customWidth="1"/>
    <col min="4617" max="4860" width="9.140625" style="209"/>
    <col min="4861" max="4861" width="37.7109375" style="209" customWidth="1"/>
    <col min="4862" max="4862" width="9.140625" style="209"/>
    <col min="4863" max="4863" width="12.85546875" style="209" customWidth="1"/>
    <col min="4864" max="4865" width="0" style="209" hidden="1" customWidth="1"/>
    <col min="4866" max="4866" width="18.28515625" style="209" customWidth="1"/>
    <col min="4867" max="4867" width="64.85546875" style="209" customWidth="1"/>
    <col min="4868" max="4871" width="9.140625" style="209"/>
    <col min="4872" max="4872" width="14.85546875" style="209" customWidth="1"/>
    <col min="4873" max="5116" width="9.140625" style="209"/>
    <col min="5117" max="5117" width="37.7109375" style="209" customWidth="1"/>
    <col min="5118" max="5118" width="9.140625" style="209"/>
    <col min="5119" max="5119" width="12.85546875" style="209" customWidth="1"/>
    <col min="5120" max="5121" width="0" style="209" hidden="1" customWidth="1"/>
    <col min="5122" max="5122" width="18.28515625" style="209" customWidth="1"/>
    <col min="5123" max="5123" width="64.85546875" style="209" customWidth="1"/>
    <col min="5124" max="5127" width="9.140625" style="209"/>
    <col min="5128" max="5128" width="14.85546875" style="209" customWidth="1"/>
    <col min="5129" max="5372" width="9.140625" style="209"/>
    <col min="5373" max="5373" width="37.7109375" style="209" customWidth="1"/>
    <col min="5374" max="5374" width="9.140625" style="209"/>
    <col min="5375" max="5375" width="12.85546875" style="209" customWidth="1"/>
    <col min="5376" max="5377" width="0" style="209" hidden="1" customWidth="1"/>
    <col min="5378" max="5378" width="18.28515625" style="209" customWidth="1"/>
    <col min="5379" max="5379" width="64.85546875" style="209" customWidth="1"/>
    <col min="5380" max="5383" width="9.140625" style="209"/>
    <col min="5384" max="5384" width="14.85546875" style="209" customWidth="1"/>
    <col min="5385" max="5628" width="9.140625" style="209"/>
    <col min="5629" max="5629" width="37.7109375" style="209" customWidth="1"/>
    <col min="5630" max="5630" width="9.140625" style="209"/>
    <col min="5631" max="5631" width="12.85546875" style="209" customWidth="1"/>
    <col min="5632" max="5633" width="0" style="209" hidden="1" customWidth="1"/>
    <col min="5634" max="5634" width="18.28515625" style="209" customWidth="1"/>
    <col min="5635" max="5635" width="64.85546875" style="209" customWidth="1"/>
    <col min="5636" max="5639" width="9.140625" style="209"/>
    <col min="5640" max="5640" width="14.85546875" style="209" customWidth="1"/>
    <col min="5641" max="5884" width="9.140625" style="209"/>
    <col min="5885" max="5885" width="37.7109375" style="209" customWidth="1"/>
    <col min="5886" max="5886" width="9.140625" style="209"/>
    <col min="5887" max="5887" width="12.85546875" style="209" customWidth="1"/>
    <col min="5888" max="5889" width="0" style="209" hidden="1" customWidth="1"/>
    <col min="5890" max="5890" width="18.28515625" style="209" customWidth="1"/>
    <col min="5891" max="5891" width="64.85546875" style="209" customWidth="1"/>
    <col min="5892" max="5895" width="9.140625" style="209"/>
    <col min="5896" max="5896" width="14.85546875" style="209" customWidth="1"/>
    <col min="5897" max="6140" width="9.140625" style="209"/>
    <col min="6141" max="6141" width="37.7109375" style="209" customWidth="1"/>
    <col min="6142" max="6142" width="9.140625" style="209"/>
    <col min="6143" max="6143" width="12.85546875" style="209" customWidth="1"/>
    <col min="6144" max="6145" width="0" style="209" hidden="1" customWidth="1"/>
    <col min="6146" max="6146" width="18.28515625" style="209" customWidth="1"/>
    <col min="6147" max="6147" width="64.85546875" style="209" customWidth="1"/>
    <col min="6148" max="6151" width="9.140625" style="209"/>
    <col min="6152" max="6152" width="14.85546875" style="209" customWidth="1"/>
    <col min="6153" max="6396" width="9.140625" style="209"/>
    <col min="6397" max="6397" width="37.7109375" style="209" customWidth="1"/>
    <col min="6398" max="6398" width="9.140625" style="209"/>
    <col min="6399" max="6399" width="12.85546875" style="209" customWidth="1"/>
    <col min="6400" max="6401" width="0" style="209" hidden="1" customWidth="1"/>
    <col min="6402" max="6402" width="18.28515625" style="209" customWidth="1"/>
    <col min="6403" max="6403" width="64.85546875" style="209" customWidth="1"/>
    <col min="6404" max="6407" width="9.140625" style="209"/>
    <col min="6408" max="6408" width="14.85546875" style="209" customWidth="1"/>
    <col min="6409" max="6652" width="9.140625" style="209"/>
    <col min="6653" max="6653" width="37.7109375" style="209" customWidth="1"/>
    <col min="6654" max="6654" width="9.140625" style="209"/>
    <col min="6655" max="6655" width="12.85546875" style="209" customWidth="1"/>
    <col min="6656" max="6657" width="0" style="209" hidden="1" customWidth="1"/>
    <col min="6658" max="6658" width="18.28515625" style="209" customWidth="1"/>
    <col min="6659" max="6659" width="64.85546875" style="209" customWidth="1"/>
    <col min="6660" max="6663" width="9.140625" style="209"/>
    <col min="6664" max="6664" width="14.85546875" style="209" customWidth="1"/>
    <col min="6665" max="6908" width="9.140625" style="209"/>
    <col min="6909" max="6909" width="37.7109375" style="209" customWidth="1"/>
    <col min="6910" max="6910" width="9.140625" style="209"/>
    <col min="6911" max="6911" width="12.85546875" style="209" customWidth="1"/>
    <col min="6912" max="6913" width="0" style="209" hidden="1" customWidth="1"/>
    <col min="6914" max="6914" width="18.28515625" style="209" customWidth="1"/>
    <col min="6915" max="6915" width="64.85546875" style="209" customWidth="1"/>
    <col min="6916" max="6919" width="9.140625" style="209"/>
    <col min="6920" max="6920" width="14.85546875" style="209" customWidth="1"/>
    <col min="6921" max="7164" width="9.140625" style="209"/>
    <col min="7165" max="7165" width="37.7109375" style="209" customWidth="1"/>
    <col min="7166" max="7166" width="9.140625" style="209"/>
    <col min="7167" max="7167" width="12.85546875" style="209" customWidth="1"/>
    <col min="7168" max="7169" width="0" style="209" hidden="1" customWidth="1"/>
    <col min="7170" max="7170" width="18.28515625" style="209" customWidth="1"/>
    <col min="7171" max="7171" width="64.85546875" style="209" customWidth="1"/>
    <col min="7172" max="7175" width="9.140625" style="209"/>
    <col min="7176" max="7176" width="14.85546875" style="209" customWidth="1"/>
    <col min="7177" max="7420" width="9.140625" style="209"/>
    <col min="7421" max="7421" width="37.7109375" style="209" customWidth="1"/>
    <col min="7422" max="7422" width="9.140625" style="209"/>
    <col min="7423" max="7423" width="12.85546875" style="209" customWidth="1"/>
    <col min="7424" max="7425" width="0" style="209" hidden="1" customWidth="1"/>
    <col min="7426" max="7426" width="18.28515625" style="209" customWidth="1"/>
    <col min="7427" max="7427" width="64.85546875" style="209" customWidth="1"/>
    <col min="7428" max="7431" width="9.140625" style="209"/>
    <col min="7432" max="7432" width="14.85546875" style="209" customWidth="1"/>
    <col min="7433" max="7676" width="9.140625" style="209"/>
    <col min="7677" max="7677" width="37.7109375" style="209" customWidth="1"/>
    <col min="7678" max="7678" width="9.140625" style="209"/>
    <col min="7679" max="7679" width="12.85546875" style="209" customWidth="1"/>
    <col min="7680" max="7681" width="0" style="209" hidden="1" customWidth="1"/>
    <col min="7682" max="7682" width="18.28515625" style="209" customWidth="1"/>
    <col min="7683" max="7683" width="64.85546875" style="209" customWidth="1"/>
    <col min="7684" max="7687" width="9.140625" style="209"/>
    <col min="7688" max="7688" width="14.85546875" style="209" customWidth="1"/>
    <col min="7689" max="7932" width="9.140625" style="209"/>
    <col min="7933" max="7933" width="37.7109375" style="209" customWidth="1"/>
    <col min="7934" max="7934" width="9.140625" style="209"/>
    <col min="7935" max="7935" width="12.85546875" style="209" customWidth="1"/>
    <col min="7936" max="7937" width="0" style="209" hidden="1" customWidth="1"/>
    <col min="7938" max="7938" width="18.28515625" style="209" customWidth="1"/>
    <col min="7939" max="7939" width="64.85546875" style="209" customWidth="1"/>
    <col min="7940" max="7943" width="9.140625" style="209"/>
    <col min="7944" max="7944" width="14.85546875" style="209" customWidth="1"/>
    <col min="7945" max="8188" width="9.140625" style="209"/>
    <col min="8189" max="8189" width="37.7109375" style="209" customWidth="1"/>
    <col min="8190" max="8190" width="9.140625" style="209"/>
    <col min="8191" max="8191" width="12.85546875" style="209" customWidth="1"/>
    <col min="8192" max="8193" width="0" style="209" hidden="1" customWidth="1"/>
    <col min="8194" max="8194" width="18.28515625" style="209" customWidth="1"/>
    <col min="8195" max="8195" width="64.85546875" style="209" customWidth="1"/>
    <col min="8196" max="8199" width="9.140625" style="209"/>
    <col min="8200" max="8200" width="14.85546875" style="209" customWidth="1"/>
    <col min="8201" max="8444" width="9.140625" style="209"/>
    <col min="8445" max="8445" width="37.7109375" style="209" customWidth="1"/>
    <col min="8446" max="8446" width="9.140625" style="209"/>
    <col min="8447" max="8447" width="12.85546875" style="209" customWidth="1"/>
    <col min="8448" max="8449" width="0" style="209" hidden="1" customWidth="1"/>
    <col min="8450" max="8450" width="18.28515625" style="209" customWidth="1"/>
    <col min="8451" max="8451" width="64.85546875" style="209" customWidth="1"/>
    <col min="8452" max="8455" width="9.140625" style="209"/>
    <col min="8456" max="8456" width="14.85546875" style="209" customWidth="1"/>
    <col min="8457" max="8700" width="9.140625" style="209"/>
    <col min="8701" max="8701" width="37.7109375" style="209" customWidth="1"/>
    <col min="8702" max="8702" width="9.140625" style="209"/>
    <col min="8703" max="8703" width="12.85546875" style="209" customWidth="1"/>
    <col min="8704" max="8705" width="0" style="209" hidden="1" customWidth="1"/>
    <col min="8706" max="8706" width="18.28515625" style="209" customWidth="1"/>
    <col min="8707" max="8707" width="64.85546875" style="209" customWidth="1"/>
    <col min="8708" max="8711" width="9.140625" style="209"/>
    <col min="8712" max="8712" width="14.85546875" style="209" customWidth="1"/>
    <col min="8713" max="8956" width="9.140625" style="209"/>
    <col min="8957" max="8957" width="37.7109375" style="209" customWidth="1"/>
    <col min="8958" max="8958" width="9.140625" style="209"/>
    <col min="8959" max="8959" width="12.85546875" style="209" customWidth="1"/>
    <col min="8960" max="8961" width="0" style="209" hidden="1" customWidth="1"/>
    <col min="8962" max="8962" width="18.28515625" style="209" customWidth="1"/>
    <col min="8963" max="8963" width="64.85546875" style="209" customWidth="1"/>
    <col min="8964" max="8967" width="9.140625" style="209"/>
    <col min="8968" max="8968" width="14.85546875" style="209" customWidth="1"/>
    <col min="8969" max="9212" width="9.140625" style="209"/>
    <col min="9213" max="9213" width="37.7109375" style="209" customWidth="1"/>
    <col min="9214" max="9214" width="9.140625" style="209"/>
    <col min="9215" max="9215" width="12.85546875" style="209" customWidth="1"/>
    <col min="9216" max="9217" width="0" style="209" hidden="1" customWidth="1"/>
    <col min="9218" max="9218" width="18.28515625" style="209" customWidth="1"/>
    <col min="9219" max="9219" width="64.85546875" style="209" customWidth="1"/>
    <col min="9220" max="9223" width="9.140625" style="209"/>
    <col min="9224" max="9224" width="14.85546875" style="209" customWidth="1"/>
    <col min="9225" max="9468" width="9.140625" style="209"/>
    <col min="9469" max="9469" width="37.7109375" style="209" customWidth="1"/>
    <col min="9470" max="9470" width="9.140625" style="209"/>
    <col min="9471" max="9471" width="12.85546875" style="209" customWidth="1"/>
    <col min="9472" max="9473" width="0" style="209" hidden="1" customWidth="1"/>
    <col min="9474" max="9474" width="18.28515625" style="209" customWidth="1"/>
    <col min="9475" max="9475" width="64.85546875" style="209" customWidth="1"/>
    <col min="9476" max="9479" width="9.140625" style="209"/>
    <col min="9480" max="9480" width="14.85546875" style="209" customWidth="1"/>
    <col min="9481" max="9724" width="9.140625" style="209"/>
    <col min="9725" max="9725" width="37.7109375" style="209" customWidth="1"/>
    <col min="9726" max="9726" width="9.140625" style="209"/>
    <col min="9727" max="9727" width="12.85546875" style="209" customWidth="1"/>
    <col min="9728" max="9729" width="0" style="209" hidden="1" customWidth="1"/>
    <col min="9730" max="9730" width="18.28515625" style="209" customWidth="1"/>
    <col min="9731" max="9731" width="64.85546875" style="209" customWidth="1"/>
    <col min="9732" max="9735" width="9.140625" style="209"/>
    <col min="9736" max="9736" width="14.85546875" style="209" customWidth="1"/>
    <col min="9737" max="9980" width="9.140625" style="209"/>
    <col min="9981" max="9981" width="37.7109375" style="209" customWidth="1"/>
    <col min="9982" max="9982" width="9.140625" style="209"/>
    <col min="9983" max="9983" width="12.85546875" style="209" customWidth="1"/>
    <col min="9984" max="9985" width="0" style="209" hidden="1" customWidth="1"/>
    <col min="9986" max="9986" width="18.28515625" style="209" customWidth="1"/>
    <col min="9987" max="9987" width="64.85546875" style="209" customWidth="1"/>
    <col min="9988" max="9991" width="9.140625" style="209"/>
    <col min="9992" max="9992" width="14.85546875" style="209" customWidth="1"/>
    <col min="9993" max="10236" width="9.140625" style="209"/>
    <col min="10237" max="10237" width="37.7109375" style="209" customWidth="1"/>
    <col min="10238" max="10238" width="9.140625" style="209"/>
    <col min="10239" max="10239" width="12.85546875" style="209" customWidth="1"/>
    <col min="10240" max="10241" width="0" style="209" hidden="1" customWidth="1"/>
    <col min="10242" max="10242" width="18.28515625" style="209" customWidth="1"/>
    <col min="10243" max="10243" width="64.85546875" style="209" customWidth="1"/>
    <col min="10244" max="10247" width="9.140625" style="209"/>
    <col min="10248" max="10248" width="14.85546875" style="209" customWidth="1"/>
    <col min="10249" max="10492" width="9.140625" style="209"/>
    <col min="10493" max="10493" width="37.7109375" style="209" customWidth="1"/>
    <col min="10494" max="10494" width="9.140625" style="209"/>
    <col min="10495" max="10495" width="12.85546875" style="209" customWidth="1"/>
    <col min="10496" max="10497" width="0" style="209" hidden="1" customWidth="1"/>
    <col min="10498" max="10498" width="18.28515625" style="209" customWidth="1"/>
    <col min="10499" max="10499" width="64.85546875" style="209" customWidth="1"/>
    <col min="10500" max="10503" width="9.140625" style="209"/>
    <col min="10504" max="10504" width="14.85546875" style="209" customWidth="1"/>
    <col min="10505" max="10748" width="9.140625" style="209"/>
    <col min="10749" max="10749" width="37.7109375" style="209" customWidth="1"/>
    <col min="10750" max="10750" width="9.140625" style="209"/>
    <col min="10751" max="10751" width="12.85546875" style="209" customWidth="1"/>
    <col min="10752" max="10753" width="0" style="209" hidden="1" customWidth="1"/>
    <col min="10754" max="10754" width="18.28515625" style="209" customWidth="1"/>
    <col min="10755" max="10755" width="64.85546875" style="209" customWidth="1"/>
    <col min="10756" max="10759" width="9.140625" style="209"/>
    <col min="10760" max="10760" width="14.85546875" style="209" customWidth="1"/>
    <col min="10761" max="11004" width="9.140625" style="209"/>
    <col min="11005" max="11005" width="37.7109375" style="209" customWidth="1"/>
    <col min="11006" max="11006" width="9.140625" style="209"/>
    <col min="11007" max="11007" width="12.85546875" style="209" customWidth="1"/>
    <col min="11008" max="11009" width="0" style="209" hidden="1" customWidth="1"/>
    <col min="11010" max="11010" width="18.28515625" style="209" customWidth="1"/>
    <col min="11011" max="11011" width="64.85546875" style="209" customWidth="1"/>
    <col min="11012" max="11015" width="9.140625" style="209"/>
    <col min="11016" max="11016" width="14.85546875" style="209" customWidth="1"/>
    <col min="11017" max="11260" width="9.140625" style="209"/>
    <col min="11261" max="11261" width="37.7109375" style="209" customWidth="1"/>
    <col min="11262" max="11262" width="9.140625" style="209"/>
    <col min="11263" max="11263" width="12.85546875" style="209" customWidth="1"/>
    <col min="11264" max="11265" width="0" style="209" hidden="1" customWidth="1"/>
    <col min="11266" max="11266" width="18.28515625" style="209" customWidth="1"/>
    <col min="11267" max="11267" width="64.85546875" style="209" customWidth="1"/>
    <col min="11268" max="11271" width="9.140625" style="209"/>
    <col min="11272" max="11272" width="14.85546875" style="209" customWidth="1"/>
    <col min="11273" max="11516" width="9.140625" style="209"/>
    <col min="11517" max="11517" width="37.7109375" style="209" customWidth="1"/>
    <col min="11518" max="11518" width="9.140625" style="209"/>
    <col min="11519" max="11519" width="12.85546875" style="209" customWidth="1"/>
    <col min="11520" max="11521" width="0" style="209" hidden="1" customWidth="1"/>
    <col min="11522" max="11522" width="18.28515625" style="209" customWidth="1"/>
    <col min="11523" max="11523" width="64.85546875" style="209" customWidth="1"/>
    <col min="11524" max="11527" width="9.140625" style="209"/>
    <col min="11528" max="11528" width="14.85546875" style="209" customWidth="1"/>
    <col min="11529" max="11772" width="9.140625" style="209"/>
    <col min="11773" max="11773" width="37.7109375" style="209" customWidth="1"/>
    <col min="11774" max="11774" width="9.140625" style="209"/>
    <col min="11775" max="11775" width="12.85546875" style="209" customWidth="1"/>
    <col min="11776" max="11777" width="0" style="209" hidden="1" customWidth="1"/>
    <col min="11778" max="11778" width="18.28515625" style="209" customWidth="1"/>
    <col min="11779" max="11779" width="64.85546875" style="209" customWidth="1"/>
    <col min="11780" max="11783" width="9.140625" style="209"/>
    <col min="11784" max="11784" width="14.85546875" style="209" customWidth="1"/>
    <col min="11785" max="12028" width="9.140625" style="209"/>
    <col min="12029" max="12029" width="37.7109375" style="209" customWidth="1"/>
    <col min="12030" max="12030" width="9.140625" style="209"/>
    <col min="12031" max="12031" width="12.85546875" style="209" customWidth="1"/>
    <col min="12032" max="12033" width="0" style="209" hidden="1" customWidth="1"/>
    <col min="12034" max="12034" width="18.28515625" style="209" customWidth="1"/>
    <col min="12035" max="12035" width="64.85546875" style="209" customWidth="1"/>
    <col min="12036" max="12039" width="9.140625" style="209"/>
    <col min="12040" max="12040" width="14.85546875" style="209" customWidth="1"/>
    <col min="12041" max="12284" width="9.140625" style="209"/>
    <col min="12285" max="12285" width="37.7109375" style="209" customWidth="1"/>
    <col min="12286" max="12286" width="9.140625" style="209"/>
    <col min="12287" max="12287" width="12.85546875" style="209" customWidth="1"/>
    <col min="12288" max="12289" width="0" style="209" hidden="1" customWidth="1"/>
    <col min="12290" max="12290" width="18.28515625" style="209" customWidth="1"/>
    <col min="12291" max="12291" width="64.85546875" style="209" customWidth="1"/>
    <col min="12292" max="12295" width="9.140625" style="209"/>
    <col min="12296" max="12296" width="14.85546875" style="209" customWidth="1"/>
    <col min="12297" max="12540" width="9.140625" style="209"/>
    <col min="12541" max="12541" width="37.7109375" style="209" customWidth="1"/>
    <col min="12542" max="12542" width="9.140625" style="209"/>
    <col min="12543" max="12543" width="12.85546875" style="209" customWidth="1"/>
    <col min="12544" max="12545" width="0" style="209" hidden="1" customWidth="1"/>
    <col min="12546" max="12546" width="18.28515625" style="209" customWidth="1"/>
    <col min="12547" max="12547" width="64.85546875" style="209" customWidth="1"/>
    <col min="12548" max="12551" width="9.140625" style="209"/>
    <col min="12552" max="12552" width="14.85546875" style="209" customWidth="1"/>
    <col min="12553" max="12796" width="9.140625" style="209"/>
    <col min="12797" max="12797" width="37.7109375" style="209" customWidth="1"/>
    <col min="12798" max="12798" width="9.140625" style="209"/>
    <col min="12799" max="12799" width="12.85546875" style="209" customWidth="1"/>
    <col min="12800" max="12801" width="0" style="209" hidden="1" customWidth="1"/>
    <col min="12802" max="12802" width="18.28515625" style="209" customWidth="1"/>
    <col min="12803" max="12803" width="64.85546875" style="209" customWidth="1"/>
    <col min="12804" max="12807" width="9.140625" style="209"/>
    <col min="12808" max="12808" width="14.85546875" style="209" customWidth="1"/>
    <col min="12809" max="13052" width="9.140625" style="209"/>
    <col min="13053" max="13053" width="37.7109375" style="209" customWidth="1"/>
    <col min="13054" max="13054" width="9.140625" style="209"/>
    <col min="13055" max="13055" width="12.85546875" style="209" customWidth="1"/>
    <col min="13056" max="13057" width="0" style="209" hidden="1" customWidth="1"/>
    <col min="13058" max="13058" width="18.28515625" style="209" customWidth="1"/>
    <col min="13059" max="13059" width="64.85546875" style="209" customWidth="1"/>
    <col min="13060" max="13063" width="9.140625" style="209"/>
    <col min="13064" max="13064" width="14.85546875" style="209" customWidth="1"/>
    <col min="13065" max="13308" width="9.140625" style="209"/>
    <col min="13309" max="13309" width="37.7109375" style="209" customWidth="1"/>
    <col min="13310" max="13310" width="9.140625" style="209"/>
    <col min="13311" max="13311" width="12.85546875" style="209" customWidth="1"/>
    <col min="13312" max="13313" width="0" style="209" hidden="1" customWidth="1"/>
    <col min="13314" max="13314" width="18.28515625" style="209" customWidth="1"/>
    <col min="13315" max="13315" width="64.85546875" style="209" customWidth="1"/>
    <col min="13316" max="13319" width="9.140625" style="209"/>
    <col min="13320" max="13320" width="14.85546875" style="209" customWidth="1"/>
    <col min="13321" max="13564" width="9.140625" style="209"/>
    <col min="13565" max="13565" width="37.7109375" style="209" customWidth="1"/>
    <col min="13566" max="13566" width="9.140625" style="209"/>
    <col min="13567" max="13567" width="12.85546875" style="209" customWidth="1"/>
    <col min="13568" max="13569" width="0" style="209" hidden="1" customWidth="1"/>
    <col min="13570" max="13570" width="18.28515625" style="209" customWidth="1"/>
    <col min="13571" max="13571" width="64.85546875" style="209" customWidth="1"/>
    <col min="13572" max="13575" width="9.140625" style="209"/>
    <col min="13576" max="13576" width="14.85546875" style="209" customWidth="1"/>
    <col min="13577" max="13820" width="9.140625" style="209"/>
    <col min="13821" max="13821" width="37.7109375" style="209" customWidth="1"/>
    <col min="13822" max="13822" width="9.140625" style="209"/>
    <col min="13823" max="13823" width="12.85546875" style="209" customWidth="1"/>
    <col min="13824" max="13825" width="0" style="209" hidden="1" customWidth="1"/>
    <col min="13826" max="13826" width="18.28515625" style="209" customWidth="1"/>
    <col min="13827" max="13827" width="64.85546875" style="209" customWidth="1"/>
    <col min="13828" max="13831" width="9.140625" style="209"/>
    <col min="13832" max="13832" width="14.85546875" style="209" customWidth="1"/>
    <col min="13833" max="14076" width="9.140625" style="209"/>
    <col min="14077" max="14077" width="37.7109375" style="209" customWidth="1"/>
    <col min="14078" max="14078" width="9.140625" style="209"/>
    <col min="14079" max="14079" width="12.85546875" style="209" customWidth="1"/>
    <col min="14080" max="14081" width="0" style="209" hidden="1" customWidth="1"/>
    <col min="14082" max="14082" width="18.28515625" style="209" customWidth="1"/>
    <col min="14083" max="14083" width="64.85546875" style="209" customWidth="1"/>
    <col min="14084" max="14087" width="9.140625" style="209"/>
    <col min="14088" max="14088" width="14.85546875" style="209" customWidth="1"/>
    <col min="14089" max="14332" width="9.140625" style="209"/>
    <col min="14333" max="14333" width="37.7109375" style="209" customWidth="1"/>
    <col min="14334" max="14334" width="9.140625" style="209"/>
    <col min="14335" max="14335" width="12.85546875" style="209" customWidth="1"/>
    <col min="14336" max="14337" width="0" style="209" hidden="1" customWidth="1"/>
    <col min="14338" max="14338" width="18.28515625" style="209" customWidth="1"/>
    <col min="14339" max="14339" width="64.85546875" style="209" customWidth="1"/>
    <col min="14340" max="14343" width="9.140625" style="209"/>
    <col min="14344" max="14344" width="14.85546875" style="209" customWidth="1"/>
    <col min="14345" max="14588" width="9.140625" style="209"/>
    <col min="14589" max="14589" width="37.7109375" style="209" customWidth="1"/>
    <col min="14590" max="14590" width="9.140625" style="209"/>
    <col min="14591" max="14591" width="12.85546875" style="209" customWidth="1"/>
    <col min="14592" max="14593" width="0" style="209" hidden="1" customWidth="1"/>
    <col min="14594" max="14594" width="18.28515625" style="209" customWidth="1"/>
    <col min="14595" max="14595" width="64.85546875" style="209" customWidth="1"/>
    <col min="14596" max="14599" width="9.140625" style="209"/>
    <col min="14600" max="14600" width="14.85546875" style="209" customWidth="1"/>
    <col min="14601" max="14844" width="9.140625" style="209"/>
    <col min="14845" max="14845" width="37.7109375" style="209" customWidth="1"/>
    <col min="14846" max="14846" width="9.140625" style="209"/>
    <col min="14847" max="14847" width="12.85546875" style="209" customWidth="1"/>
    <col min="14848" max="14849" width="0" style="209" hidden="1" customWidth="1"/>
    <col min="14850" max="14850" width="18.28515625" style="209" customWidth="1"/>
    <col min="14851" max="14851" width="64.85546875" style="209" customWidth="1"/>
    <col min="14852" max="14855" width="9.140625" style="209"/>
    <col min="14856" max="14856" width="14.85546875" style="209" customWidth="1"/>
    <col min="14857" max="15100" width="9.140625" style="209"/>
    <col min="15101" max="15101" width="37.7109375" style="209" customWidth="1"/>
    <col min="15102" max="15102" width="9.140625" style="209"/>
    <col min="15103" max="15103" width="12.85546875" style="209" customWidth="1"/>
    <col min="15104" max="15105" width="0" style="209" hidden="1" customWidth="1"/>
    <col min="15106" max="15106" width="18.28515625" style="209" customWidth="1"/>
    <col min="15107" max="15107" width="64.85546875" style="209" customWidth="1"/>
    <col min="15108" max="15111" width="9.140625" style="209"/>
    <col min="15112" max="15112" width="14.85546875" style="209" customWidth="1"/>
    <col min="15113" max="15356" width="9.140625" style="209"/>
    <col min="15357" max="15357" width="37.7109375" style="209" customWidth="1"/>
    <col min="15358" max="15358" width="9.140625" style="209"/>
    <col min="15359" max="15359" width="12.85546875" style="209" customWidth="1"/>
    <col min="15360" max="15361" width="0" style="209" hidden="1" customWidth="1"/>
    <col min="15362" max="15362" width="18.28515625" style="209" customWidth="1"/>
    <col min="15363" max="15363" width="64.85546875" style="209" customWidth="1"/>
    <col min="15364" max="15367" width="9.140625" style="209"/>
    <col min="15368" max="15368" width="14.85546875" style="209" customWidth="1"/>
    <col min="15369" max="15612" width="9.140625" style="209"/>
    <col min="15613" max="15613" width="37.7109375" style="209" customWidth="1"/>
    <col min="15614" max="15614" width="9.140625" style="209"/>
    <col min="15615" max="15615" width="12.85546875" style="209" customWidth="1"/>
    <col min="15616" max="15617" width="0" style="209" hidden="1" customWidth="1"/>
    <col min="15618" max="15618" width="18.28515625" style="209" customWidth="1"/>
    <col min="15619" max="15619" width="64.85546875" style="209" customWidth="1"/>
    <col min="15620" max="15623" width="9.140625" style="209"/>
    <col min="15624" max="15624" width="14.85546875" style="209" customWidth="1"/>
    <col min="15625" max="15868" width="9.140625" style="209"/>
    <col min="15869" max="15869" width="37.7109375" style="209" customWidth="1"/>
    <col min="15870" max="15870" width="9.140625" style="209"/>
    <col min="15871" max="15871" width="12.85546875" style="209" customWidth="1"/>
    <col min="15872" max="15873" width="0" style="209" hidden="1" customWidth="1"/>
    <col min="15874" max="15874" width="18.28515625" style="209" customWidth="1"/>
    <col min="15875" max="15875" width="64.85546875" style="209" customWidth="1"/>
    <col min="15876" max="15879" width="9.140625" style="209"/>
    <col min="15880" max="15880" width="14.85546875" style="209" customWidth="1"/>
    <col min="15881" max="16124" width="9.140625" style="209"/>
    <col min="16125" max="16125" width="37.7109375" style="209" customWidth="1"/>
    <col min="16126" max="16126" width="9.140625" style="209"/>
    <col min="16127" max="16127" width="12.85546875" style="209" customWidth="1"/>
    <col min="16128" max="16129" width="0" style="209" hidden="1" customWidth="1"/>
    <col min="16130" max="16130" width="18.28515625" style="209" customWidth="1"/>
    <col min="16131" max="16131" width="64.85546875" style="209" customWidth="1"/>
    <col min="16132" max="16135" width="9.140625" style="209"/>
    <col min="16136" max="16136" width="14.85546875" style="209" customWidth="1"/>
    <col min="16137" max="16384" width="9.140625" style="209"/>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4" t="str">
        <f>'2. паспорт  ТП'!A4:S4</f>
        <v>Год раскрытия информации: 2025 год</v>
      </c>
      <c r="B5" s="314"/>
      <c r="C5" s="314"/>
      <c r="D5" s="314"/>
      <c r="E5" s="314"/>
      <c r="F5" s="314"/>
      <c r="G5" s="314"/>
      <c r="H5" s="314"/>
      <c r="I5" s="314"/>
      <c r="J5" s="314"/>
      <c r="K5" s="314"/>
      <c r="L5" s="314"/>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5"/>
    </row>
    <row r="7" spans="1:44" ht="18.75" x14ac:dyDescent="0.25">
      <c r="A7" s="315" t="s">
        <v>4</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row>
    <row r="10" spans="1:44" x14ac:dyDescent="0.25">
      <c r="A10" s="317" t="s">
        <v>6</v>
      </c>
      <c r="B10" s="317"/>
      <c r="C10" s="317"/>
      <c r="D10" s="317"/>
      <c r="E10" s="317"/>
      <c r="F10" s="317"/>
      <c r="G10" s="317"/>
      <c r="H10" s="317"/>
      <c r="I10" s="317"/>
      <c r="J10" s="317"/>
      <c r="K10" s="317"/>
      <c r="L10" s="317"/>
    </row>
    <row r="11" spans="1:44" ht="18.75" x14ac:dyDescent="0.25">
      <c r="A11" s="315"/>
      <c r="B11" s="315"/>
      <c r="C11" s="315"/>
      <c r="D11" s="315"/>
      <c r="E11" s="315"/>
      <c r="F11" s="315"/>
      <c r="G11" s="315"/>
      <c r="H11" s="315"/>
      <c r="I11" s="315"/>
      <c r="J11" s="315"/>
      <c r="K11" s="315"/>
      <c r="L11" s="315"/>
    </row>
    <row r="12" spans="1:44" x14ac:dyDescent="0.25">
      <c r="A12" s="324" t="str">
        <f>'1. паспорт местоположение'!A12:C12</f>
        <v>O_22-1256</v>
      </c>
      <c r="B12" s="324"/>
      <c r="C12" s="324"/>
      <c r="D12" s="324"/>
      <c r="E12" s="324"/>
      <c r="F12" s="324"/>
      <c r="G12" s="324"/>
      <c r="H12" s="324"/>
      <c r="I12" s="324"/>
      <c r="J12" s="324"/>
      <c r="K12" s="324"/>
      <c r="L12" s="324"/>
    </row>
    <row r="13" spans="1:44" x14ac:dyDescent="0.25">
      <c r="A13" s="317" t="s">
        <v>8</v>
      </c>
      <c r="B13" s="317"/>
      <c r="C13" s="317"/>
      <c r="D13" s="317"/>
      <c r="E13" s="317"/>
      <c r="F13" s="317"/>
      <c r="G13" s="317"/>
      <c r="H13" s="317"/>
      <c r="I13" s="317"/>
      <c r="J13" s="317"/>
      <c r="K13" s="317"/>
      <c r="L13" s="317"/>
    </row>
    <row r="14" spans="1:44" ht="18.75" x14ac:dyDescent="0.25">
      <c r="A14" s="325"/>
      <c r="B14" s="325"/>
      <c r="C14" s="325"/>
      <c r="D14" s="325"/>
      <c r="E14" s="325"/>
      <c r="F14" s="325"/>
      <c r="G14" s="325"/>
      <c r="H14" s="325"/>
      <c r="I14" s="325"/>
      <c r="J14" s="325"/>
      <c r="K14" s="325"/>
      <c r="L14" s="325"/>
    </row>
    <row r="15" spans="1:44" ht="102" customHeight="1" x14ac:dyDescent="0.25">
      <c r="A15" s="347" t="str">
        <f>'1. паспорт местоположение'!A15</f>
        <v>Вынос (переустройство)  26 КЛ-6,10 кВ: 10-02(542907601), 6-01(542880207,542880710,542880409), 6-22(542880207,542880710,542880409), 6-19(542880207)), 6-11(542880409), 6-20(542880409,542880704), 6-16(542879804,542879701), 6-15(542880207,542880409), 10-30(542880409), 10-14(542905004), 10-42(542905005)), 10-04(542879701), 10-34(542907602)), 10-06(542879701), 10-28(542879701)), 10-10(542880403), 10-12(542880403), 10-05(542915404), 10-21(542915401), 10-40(5428804403), 10-38(542878812), 10-08(542878812), 17-13(542904401), РП-XX – ТП-301(542878913,542878812,542878704), РП-XX – ТП-374(542878704),6-14(542888001)</v>
      </c>
      <c r="B15" s="347"/>
      <c r="C15" s="347"/>
      <c r="D15" s="347"/>
      <c r="E15" s="347"/>
      <c r="F15" s="347"/>
      <c r="G15" s="347"/>
      <c r="H15" s="347"/>
      <c r="I15" s="347"/>
      <c r="J15" s="347"/>
      <c r="K15" s="347"/>
      <c r="L15" s="347"/>
    </row>
    <row r="16" spans="1:44" x14ac:dyDescent="0.25">
      <c r="A16" s="317" t="s">
        <v>10</v>
      </c>
      <c r="B16" s="317"/>
      <c r="C16" s="317"/>
      <c r="D16" s="317"/>
      <c r="E16" s="317"/>
      <c r="F16" s="317"/>
      <c r="G16" s="317"/>
      <c r="H16" s="317"/>
      <c r="I16" s="317"/>
      <c r="J16" s="317"/>
      <c r="K16" s="317"/>
      <c r="L16" s="317"/>
    </row>
    <row r="17" spans="1:12" ht="15.75" customHeight="1" x14ac:dyDescent="0.25">
      <c r="L17" s="210"/>
    </row>
    <row r="18" spans="1:12" x14ac:dyDescent="0.25">
      <c r="K18" s="211"/>
    </row>
    <row r="19" spans="1:12" ht="15.75" customHeight="1" x14ac:dyDescent="0.25">
      <c r="A19" s="374" t="s">
        <v>411</v>
      </c>
      <c r="B19" s="374"/>
      <c r="C19" s="374"/>
      <c r="D19" s="374"/>
      <c r="E19" s="374"/>
      <c r="F19" s="374"/>
      <c r="G19" s="374"/>
      <c r="H19" s="374"/>
      <c r="I19" s="374"/>
      <c r="J19" s="374"/>
      <c r="K19" s="374"/>
      <c r="L19" s="374"/>
    </row>
    <row r="20" spans="1:12" x14ac:dyDescent="0.25">
      <c r="A20" s="212"/>
      <c r="B20" s="212"/>
    </row>
    <row r="21" spans="1:12" ht="28.5" customHeight="1" x14ac:dyDescent="0.25">
      <c r="A21" s="375" t="s">
        <v>412</v>
      </c>
      <c r="B21" s="375" t="s">
        <v>413</v>
      </c>
      <c r="C21" s="376" t="s">
        <v>414</v>
      </c>
      <c r="D21" s="376"/>
      <c r="E21" s="376"/>
      <c r="F21" s="376"/>
      <c r="G21" s="376"/>
      <c r="H21" s="376"/>
      <c r="I21" s="375" t="s">
        <v>415</v>
      </c>
      <c r="J21" s="377" t="s">
        <v>416</v>
      </c>
      <c r="K21" s="375" t="s">
        <v>417</v>
      </c>
      <c r="L21" s="380" t="s">
        <v>418</v>
      </c>
    </row>
    <row r="22" spans="1:12" ht="58.5" customHeight="1" x14ac:dyDescent="0.25">
      <c r="A22" s="375"/>
      <c r="B22" s="375"/>
      <c r="C22" s="379" t="s">
        <v>419</v>
      </c>
      <c r="D22" s="379"/>
      <c r="E22" s="381" t="s">
        <v>420</v>
      </c>
      <c r="F22" s="382"/>
      <c r="G22" s="381" t="s">
        <v>421</v>
      </c>
      <c r="H22" s="382"/>
      <c r="I22" s="375"/>
      <c r="J22" s="378"/>
      <c r="K22" s="375"/>
      <c r="L22" s="380"/>
    </row>
    <row r="23" spans="1:12" ht="31.5" x14ac:dyDescent="0.25">
      <c r="A23" s="375"/>
      <c r="B23" s="375"/>
      <c r="C23" s="215" t="s">
        <v>422</v>
      </c>
      <c r="D23" s="215" t="s">
        <v>423</v>
      </c>
      <c r="E23" s="215" t="s">
        <v>422</v>
      </c>
      <c r="F23" s="215" t="s">
        <v>423</v>
      </c>
      <c r="G23" s="215" t="s">
        <v>422</v>
      </c>
      <c r="H23" s="215" t="s">
        <v>423</v>
      </c>
      <c r="I23" s="375"/>
      <c r="J23" s="379"/>
      <c r="K23" s="375"/>
      <c r="L23" s="380"/>
    </row>
    <row r="24" spans="1:12" x14ac:dyDescent="0.25">
      <c r="A24" s="213">
        <v>1</v>
      </c>
      <c r="B24" s="213">
        <v>2</v>
      </c>
      <c r="C24" s="215">
        <v>3</v>
      </c>
      <c r="D24" s="215">
        <v>4</v>
      </c>
      <c r="E24" s="215">
        <v>5</v>
      </c>
      <c r="F24" s="215">
        <v>6</v>
      </c>
      <c r="G24" s="215">
        <v>7</v>
      </c>
      <c r="H24" s="215">
        <v>8</v>
      </c>
      <c r="I24" s="215">
        <v>9</v>
      </c>
      <c r="J24" s="215">
        <v>10</v>
      </c>
      <c r="K24" s="215">
        <v>11</v>
      </c>
      <c r="L24" s="215">
        <v>12</v>
      </c>
    </row>
    <row r="25" spans="1:12" ht="31.5" x14ac:dyDescent="0.25">
      <c r="A25" s="215">
        <v>1</v>
      </c>
      <c r="B25" s="216" t="s">
        <v>424</v>
      </c>
      <c r="C25" s="216"/>
      <c r="D25" s="217"/>
      <c r="E25" s="217"/>
      <c r="F25" s="217"/>
      <c r="G25" s="217"/>
      <c r="H25" s="217"/>
      <c r="I25" s="217"/>
      <c r="J25" s="217"/>
      <c r="K25" s="218"/>
      <c r="L25" s="68"/>
    </row>
    <row r="26" spans="1:12" ht="21.75" customHeight="1" x14ac:dyDescent="0.25">
      <c r="A26" s="215" t="s">
        <v>425</v>
      </c>
      <c r="B26" s="219" t="s">
        <v>426</v>
      </c>
      <c r="C26" s="220" t="s">
        <v>32</v>
      </c>
      <c r="D26" s="220" t="s">
        <v>32</v>
      </c>
      <c r="E26" s="220" t="s">
        <v>32</v>
      </c>
      <c r="F26" s="220" t="s">
        <v>32</v>
      </c>
      <c r="G26" s="220" t="s">
        <v>32</v>
      </c>
      <c r="H26" s="220" t="s">
        <v>32</v>
      </c>
      <c r="I26" s="220"/>
      <c r="J26" s="220"/>
      <c r="K26" s="218"/>
      <c r="L26" s="218"/>
    </row>
    <row r="27" spans="1:12" ht="39" customHeight="1" x14ac:dyDescent="0.25">
      <c r="A27" s="215" t="s">
        <v>427</v>
      </c>
      <c r="B27" s="219" t="s">
        <v>428</v>
      </c>
      <c r="C27" s="220" t="s">
        <v>32</v>
      </c>
      <c r="D27" s="220" t="s">
        <v>32</v>
      </c>
      <c r="E27" s="220" t="s">
        <v>32</v>
      </c>
      <c r="F27" s="220" t="s">
        <v>32</v>
      </c>
      <c r="G27" s="220" t="s">
        <v>32</v>
      </c>
      <c r="H27" s="220" t="s">
        <v>32</v>
      </c>
      <c r="I27" s="220"/>
      <c r="J27" s="220"/>
      <c r="K27" s="218"/>
      <c r="L27" s="218"/>
    </row>
    <row r="28" spans="1:12" ht="70.5" customHeight="1" x14ac:dyDescent="0.25">
      <c r="A28" s="215" t="s">
        <v>429</v>
      </c>
      <c r="B28" s="219" t="s">
        <v>430</v>
      </c>
      <c r="C28" s="220" t="s">
        <v>32</v>
      </c>
      <c r="D28" s="220" t="s">
        <v>32</v>
      </c>
      <c r="E28" s="220" t="s">
        <v>32</v>
      </c>
      <c r="F28" s="220" t="s">
        <v>32</v>
      </c>
      <c r="G28" s="220" t="s">
        <v>32</v>
      </c>
      <c r="H28" s="220" t="s">
        <v>32</v>
      </c>
      <c r="I28" s="220"/>
      <c r="J28" s="220"/>
      <c r="K28" s="218"/>
      <c r="L28" s="218"/>
    </row>
    <row r="29" spans="1:12" ht="54" customHeight="1" x14ac:dyDescent="0.25">
      <c r="A29" s="215" t="s">
        <v>431</v>
      </c>
      <c r="B29" s="219" t="s">
        <v>432</v>
      </c>
      <c r="C29" s="220" t="s">
        <v>32</v>
      </c>
      <c r="D29" s="220" t="s">
        <v>32</v>
      </c>
      <c r="E29" s="220" t="s">
        <v>32</v>
      </c>
      <c r="F29" s="220" t="s">
        <v>32</v>
      </c>
      <c r="G29" s="220" t="s">
        <v>32</v>
      </c>
      <c r="H29" s="220" t="s">
        <v>32</v>
      </c>
      <c r="I29" s="220"/>
      <c r="J29" s="220"/>
      <c r="K29" s="218"/>
      <c r="L29" s="218"/>
    </row>
    <row r="30" spans="1:12" ht="42" customHeight="1" x14ac:dyDescent="0.25">
      <c r="A30" s="215" t="s">
        <v>433</v>
      </c>
      <c r="B30" s="219" t="s">
        <v>434</v>
      </c>
      <c r="C30" s="220" t="s">
        <v>32</v>
      </c>
      <c r="D30" s="220" t="s">
        <v>32</v>
      </c>
      <c r="E30" s="220" t="s">
        <v>32</v>
      </c>
      <c r="F30" s="220" t="s">
        <v>32</v>
      </c>
      <c r="G30" s="220" t="s">
        <v>32</v>
      </c>
      <c r="H30" s="220" t="s">
        <v>32</v>
      </c>
      <c r="I30" s="220"/>
      <c r="J30" s="220"/>
      <c r="K30" s="218"/>
      <c r="L30" s="218"/>
    </row>
    <row r="31" spans="1:12" ht="37.5" customHeight="1" x14ac:dyDescent="0.25">
      <c r="A31" s="215" t="s">
        <v>435</v>
      </c>
      <c r="B31" s="221" t="s">
        <v>436</v>
      </c>
      <c r="C31" s="220" t="s">
        <v>32</v>
      </c>
      <c r="D31" s="220" t="s">
        <v>32</v>
      </c>
      <c r="E31" s="220" t="s">
        <v>32</v>
      </c>
      <c r="F31" s="220" t="s">
        <v>32</v>
      </c>
      <c r="G31" s="220" t="s">
        <v>32</v>
      </c>
      <c r="H31" s="220" t="s">
        <v>32</v>
      </c>
      <c r="I31" s="220"/>
      <c r="J31" s="220"/>
      <c r="K31" s="218"/>
      <c r="L31" s="218"/>
    </row>
    <row r="32" spans="1:12" ht="31.5" x14ac:dyDescent="0.25">
      <c r="A32" s="215" t="s">
        <v>437</v>
      </c>
      <c r="B32" s="221" t="s">
        <v>438</v>
      </c>
      <c r="C32" s="222">
        <v>45314</v>
      </c>
      <c r="D32" s="222">
        <v>45314</v>
      </c>
      <c r="E32" s="222">
        <v>45314</v>
      </c>
      <c r="F32" s="222">
        <v>45639</v>
      </c>
      <c r="G32" s="222">
        <v>45314</v>
      </c>
      <c r="H32" s="222">
        <v>45639</v>
      </c>
      <c r="I32" s="220">
        <v>100</v>
      </c>
      <c r="J32" s="223"/>
      <c r="K32" s="218"/>
      <c r="L32" s="218"/>
    </row>
    <row r="33" spans="1:12" ht="37.5" customHeight="1" x14ac:dyDescent="0.25">
      <c r="A33" s="215" t="s">
        <v>439</v>
      </c>
      <c r="B33" s="221" t="s">
        <v>440</v>
      </c>
      <c r="C33" s="220" t="s">
        <v>32</v>
      </c>
      <c r="D33" s="220" t="s">
        <v>32</v>
      </c>
      <c r="E33" s="220" t="s">
        <v>32</v>
      </c>
      <c r="F33" s="220" t="s">
        <v>32</v>
      </c>
      <c r="G33" s="220" t="s">
        <v>32</v>
      </c>
      <c r="H33" s="220" t="s">
        <v>32</v>
      </c>
      <c r="I33" s="220"/>
      <c r="J33" s="220"/>
      <c r="K33" s="218"/>
      <c r="L33" s="218"/>
    </row>
    <row r="34" spans="1:12" ht="47.25" customHeight="1" x14ac:dyDescent="0.25">
      <c r="A34" s="215" t="s">
        <v>441</v>
      </c>
      <c r="B34" s="221" t="s">
        <v>442</v>
      </c>
      <c r="C34" s="220" t="s">
        <v>32</v>
      </c>
      <c r="D34" s="220" t="s">
        <v>32</v>
      </c>
      <c r="E34" s="220" t="s">
        <v>32</v>
      </c>
      <c r="F34" s="220" t="s">
        <v>32</v>
      </c>
      <c r="G34" s="220" t="s">
        <v>32</v>
      </c>
      <c r="H34" s="220" t="s">
        <v>32</v>
      </c>
      <c r="I34" s="220"/>
      <c r="J34" s="220"/>
      <c r="K34" s="224"/>
      <c r="L34" s="218"/>
    </row>
    <row r="35" spans="1:12" ht="49.5" customHeight="1" x14ac:dyDescent="0.25">
      <c r="A35" s="215" t="s">
        <v>443</v>
      </c>
      <c r="B35" s="221" t="s">
        <v>444</v>
      </c>
      <c r="C35" s="222">
        <v>45407</v>
      </c>
      <c r="D35" s="222">
        <v>45407</v>
      </c>
      <c r="E35" s="222">
        <v>45407</v>
      </c>
      <c r="F35" s="222">
        <v>45638</v>
      </c>
      <c r="G35" s="222">
        <v>45407</v>
      </c>
      <c r="H35" s="222">
        <v>45638</v>
      </c>
      <c r="I35" s="223">
        <v>100</v>
      </c>
      <c r="J35" s="223"/>
      <c r="K35" s="224"/>
      <c r="L35" s="218"/>
    </row>
    <row r="36" spans="1:12" ht="37.5" customHeight="1" x14ac:dyDescent="0.25">
      <c r="A36" s="215" t="s">
        <v>445</v>
      </c>
      <c r="B36" s="221" t="s">
        <v>446</v>
      </c>
      <c r="C36" s="220" t="s">
        <v>32</v>
      </c>
      <c r="D36" s="220" t="s">
        <v>32</v>
      </c>
      <c r="E36" s="220" t="s">
        <v>32</v>
      </c>
      <c r="F36" s="220" t="s">
        <v>32</v>
      </c>
      <c r="G36" s="220" t="s">
        <v>32</v>
      </c>
      <c r="H36" s="220" t="s">
        <v>32</v>
      </c>
      <c r="I36" s="220"/>
      <c r="J36" s="220"/>
      <c r="K36" s="218"/>
      <c r="L36" s="218"/>
    </row>
    <row r="37" spans="1:12" x14ac:dyDescent="0.25">
      <c r="A37" s="215" t="s">
        <v>447</v>
      </c>
      <c r="B37" s="221" t="s">
        <v>448</v>
      </c>
      <c r="C37" s="222">
        <v>45407</v>
      </c>
      <c r="D37" s="222">
        <v>45407</v>
      </c>
      <c r="E37" s="222">
        <v>45407</v>
      </c>
      <c r="F37" s="222">
        <v>45639</v>
      </c>
      <c r="G37" s="222">
        <v>45407</v>
      </c>
      <c r="H37" s="222">
        <v>45639</v>
      </c>
      <c r="I37" s="220">
        <v>100</v>
      </c>
      <c r="J37" s="223"/>
      <c r="K37" s="218"/>
      <c r="L37" s="218"/>
    </row>
    <row r="38" spans="1:12" x14ac:dyDescent="0.25">
      <c r="A38" s="215" t="s">
        <v>449</v>
      </c>
      <c r="B38" s="216" t="s">
        <v>450</v>
      </c>
      <c r="C38" s="223"/>
      <c r="D38" s="223"/>
      <c r="E38" s="223"/>
      <c r="F38" s="223"/>
      <c r="G38" s="223"/>
      <c r="H38" s="223"/>
      <c r="I38" s="223"/>
      <c r="J38" s="223"/>
      <c r="K38" s="218"/>
      <c r="L38" s="218"/>
    </row>
    <row r="39" spans="1:12" ht="78.75" x14ac:dyDescent="0.25">
      <c r="A39" s="215">
        <v>2</v>
      </c>
      <c r="B39" s="221" t="s">
        <v>451</v>
      </c>
      <c r="C39" s="222">
        <v>45365</v>
      </c>
      <c r="D39" s="222">
        <v>45365</v>
      </c>
      <c r="E39" s="222">
        <v>45365</v>
      </c>
      <c r="F39" s="222">
        <v>45365</v>
      </c>
      <c r="G39" s="222">
        <v>45365</v>
      </c>
      <c r="H39" s="222">
        <v>45365</v>
      </c>
      <c r="I39" s="220">
        <v>100</v>
      </c>
      <c r="J39" s="223"/>
      <c r="K39" s="218"/>
      <c r="L39" s="218"/>
    </row>
    <row r="40" spans="1:12" ht="33.75" customHeight="1" x14ac:dyDescent="0.25">
      <c r="A40" s="215" t="s">
        <v>452</v>
      </c>
      <c r="B40" s="221" t="s">
        <v>453</v>
      </c>
      <c r="C40" s="220" t="s">
        <v>32</v>
      </c>
      <c r="D40" s="220" t="s">
        <v>32</v>
      </c>
      <c r="E40" s="220" t="s">
        <v>32</v>
      </c>
      <c r="F40" s="220" t="s">
        <v>32</v>
      </c>
      <c r="G40" s="220" t="s">
        <v>32</v>
      </c>
      <c r="H40" s="220" t="s">
        <v>32</v>
      </c>
      <c r="I40" s="220"/>
      <c r="J40" s="223"/>
      <c r="K40" s="218"/>
      <c r="L40" s="218"/>
    </row>
    <row r="41" spans="1:12" ht="63" customHeight="1" x14ac:dyDescent="0.25">
      <c r="A41" s="215" t="s">
        <v>454</v>
      </c>
      <c r="B41" s="216" t="s">
        <v>455</v>
      </c>
      <c r="C41" s="223"/>
      <c r="D41" s="223"/>
      <c r="E41" s="223"/>
      <c r="F41" s="223"/>
      <c r="G41" s="223"/>
      <c r="H41" s="223"/>
      <c r="I41" s="223"/>
      <c r="J41" s="223"/>
      <c r="K41" s="218"/>
      <c r="L41" s="218"/>
    </row>
    <row r="42" spans="1:12" ht="58.5" customHeight="1" x14ac:dyDescent="0.25">
      <c r="A42" s="215">
        <v>3</v>
      </c>
      <c r="B42" s="221" t="s">
        <v>456</v>
      </c>
      <c r="C42" s="220" t="s">
        <v>32</v>
      </c>
      <c r="D42" s="220" t="s">
        <v>32</v>
      </c>
      <c r="E42" s="220" t="s">
        <v>32</v>
      </c>
      <c r="F42" s="220" t="s">
        <v>32</v>
      </c>
      <c r="G42" s="220" t="s">
        <v>32</v>
      </c>
      <c r="H42" s="220" t="s">
        <v>32</v>
      </c>
      <c r="I42" s="220"/>
      <c r="J42" s="223"/>
      <c r="K42" s="218"/>
      <c r="L42" s="218"/>
    </row>
    <row r="43" spans="1:12" ht="34.5" customHeight="1" x14ac:dyDescent="0.25">
      <c r="A43" s="215" t="s">
        <v>457</v>
      </c>
      <c r="B43" s="221" t="s">
        <v>458</v>
      </c>
      <c r="C43" s="220" t="s">
        <v>32</v>
      </c>
      <c r="D43" s="220" t="s">
        <v>32</v>
      </c>
      <c r="E43" s="220" t="s">
        <v>32</v>
      </c>
      <c r="F43" s="220" t="s">
        <v>32</v>
      </c>
      <c r="G43" s="220" t="s">
        <v>32</v>
      </c>
      <c r="H43" s="220" t="s">
        <v>32</v>
      </c>
      <c r="I43" s="220"/>
      <c r="J43" s="223"/>
      <c r="K43" s="218"/>
      <c r="L43" s="218"/>
    </row>
    <row r="44" spans="1:12" ht="24.75" customHeight="1" x14ac:dyDescent="0.25">
      <c r="A44" s="215" t="s">
        <v>459</v>
      </c>
      <c r="B44" s="221" t="s">
        <v>460</v>
      </c>
      <c r="C44" s="222">
        <v>45365</v>
      </c>
      <c r="D44" s="225">
        <v>45536</v>
      </c>
      <c r="E44" s="222">
        <v>45365</v>
      </c>
      <c r="F44" s="225">
        <v>45639</v>
      </c>
      <c r="G44" s="222">
        <v>45365</v>
      </c>
      <c r="H44" s="225">
        <v>45639</v>
      </c>
      <c r="I44" s="223">
        <v>100</v>
      </c>
      <c r="J44" s="223"/>
      <c r="K44" s="218"/>
      <c r="L44" s="218"/>
    </row>
    <row r="45" spans="1:12" ht="90.75" customHeight="1" x14ac:dyDescent="0.25">
      <c r="A45" s="215" t="s">
        <v>461</v>
      </c>
      <c r="B45" s="221" t="s">
        <v>462</v>
      </c>
      <c r="C45" s="220" t="s">
        <v>32</v>
      </c>
      <c r="D45" s="220" t="s">
        <v>32</v>
      </c>
      <c r="E45" s="220" t="s">
        <v>32</v>
      </c>
      <c r="F45" s="220" t="s">
        <v>32</v>
      </c>
      <c r="G45" s="220" t="s">
        <v>32</v>
      </c>
      <c r="H45" s="220" t="s">
        <v>32</v>
      </c>
      <c r="I45" s="220"/>
      <c r="J45" s="220"/>
      <c r="K45" s="218"/>
      <c r="L45" s="218"/>
    </row>
    <row r="46" spans="1:12" ht="167.25" customHeight="1" x14ac:dyDescent="0.25">
      <c r="A46" s="215" t="s">
        <v>463</v>
      </c>
      <c r="B46" s="221" t="s">
        <v>464</v>
      </c>
      <c r="C46" s="220" t="s">
        <v>32</v>
      </c>
      <c r="D46" s="220" t="s">
        <v>32</v>
      </c>
      <c r="E46" s="220" t="s">
        <v>32</v>
      </c>
      <c r="F46" s="220" t="s">
        <v>32</v>
      </c>
      <c r="G46" s="220" t="s">
        <v>32</v>
      </c>
      <c r="H46" s="220" t="s">
        <v>32</v>
      </c>
      <c r="I46" s="220"/>
      <c r="J46" s="220"/>
      <c r="K46" s="218"/>
      <c r="L46" s="218"/>
    </row>
    <row r="47" spans="1:12" ht="30.75" customHeight="1" x14ac:dyDescent="0.25">
      <c r="A47" s="215" t="s">
        <v>465</v>
      </c>
      <c r="B47" s="221" t="s">
        <v>466</v>
      </c>
      <c r="C47" s="225">
        <v>45566</v>
      </c>
      <c r="D47" s="225">
        <v>45657</v>
      </c>
      <c r="E47" s="225">
        <v>45649</v>
      </c>
      <c r="F47" s="225">
        <v>45652</v>
      </c>
      <c r="G47" s="225">
        <v>45649</v>
      </c>
      <c r="H47" s="225">
        <v>45652</v>
      </c>
      <c r="I47" s="223">
        <v>100</v>
      </c>
      <c r="J47" s="223"/>
      <c r="K47" s="218"/>
      <c r="L47" s="218"/>
    </row>
    <row r="48" spans="1:12" ht="37.5" customHeight="1" x14ac:dyDescent="0.25">
      <c r="A48" s="215" t="s">
        <v>467</v>
      </c>
      <c r="B48" s="216" t="s">
        <v>468</v>
      </c>
      <c r="C48" s="223"/>
      <c r="D48" s="223"/>
      <c r="E48" s="223"/>
      <c r="F48" s="223"/>
      <c r="G48" s="223"/>
      <c r="H48" s="223"/>
      <c r="I48" s="223"/>
      <c r="J48" s="223"/>
      <c r="K48" s="218"/>
      <c r="L48" s="218"/>
    </row>
    <row r="49" spans="1:12" ht="35.25" customHeight="1" x14ac:dyDescent="0.25">
      <c r="A49" s="215">
        <v>4</v>
      </c>
      <c r="B49" s="221" t="s">
        <v>469</v>
      </c>
      <c r="C49" s="225">
        <v>45566</v>
      </c>
      <c r="D49" s="225">
        <v>45657</v>
      </c>
      <c r="E49" s="225">
        <v>45649</v>
      </c>
      <c r="F49" s="225">
        <v>45652</v>
      </c>
      <c r="G49" s="225">
        <v>45649</v>
      </c>
      <c r="H49" s="225">
        <v>45652</v>
      </c>
      <c r="I49" s="223">
        <v>100</v>
      </c>
      <c r="J49" s="223"/>
      <c r="K49" s="218"/>
      <c r="L49" s="218"/>
    </row>
    <row r="50" spans="1:12" ht="86.25" customHeight="1" x14ac:dyDescent="0.25">
      <c r="A50" s="215" t="s">
        <v>470</v>
      </c>
      <c r="B50" s="221" t="s">
        <v>471</v>
      </c>
      <c r="C50" s="225">
        <v>45566</v>
      </c>
      <c r="D50" s="225">
        <v>45657</v>
      </c>
      <c r="E50" s="225">
        <v>45657</v>
      </c>
      <c r="F50" s="225">
        <v>45657</v>
      </c>
      <c r="G50" s="225">
        <v>45657</v>
      </c>
      <c r="H50" s="225">
        <v>45657</v>
      </c>
      <c r="I50" s="223">
        <v>100</v>
      </c>
      <c r="J50" s="223"/>
      <c r="K50" s="218"/>
      <c r="L50" s="218"/>
    </row>
    <row r="51" spans="1:12" ht="77.25" customHeight="1" x14ac:dyDescent="0.25">
      <c r="A51" s="215" t="s">
        <v>472</v>
      </c>
      <c r="B51" s="221" t="s">
        <v>473</v>
      </c>
      <c r="C51" s="220" t="s">
        <v>32</v>
      </c>
      <c r="D51" s="220" t="s">
        <v>32</v>
      </c>
      <c r="E51" s="220" t="s">
        <v>32</v>
      </c>
      <c r="F51" s="220" t="s">
        <v>32</v>
      </c>
      <c r="G51" s="220" t="s">
        <v>32</v>
      </c>
      <c r="H51" s="220" t="s">
        <v>32</v>
      </c>
      <c r="I51" s="223"/>
      <c r="J51" s="223"/>
      <c r="K51" s="218"/>
      <c r="L51" s="218"/>
    </row>
    <row r="52" spans="1:12" ht="71.25" customHeight="1" x14ac:dyDescent="0.25">
      <c r="A52" s="215" t="s">
        <v>474</v>
      </c>
      <c r="B52" s="221" t="s">
        <v>475</v>
      </c>
      <c r="C52" s="220" t="s">
        <v>32</v>
      </c>
      <c r="D52" s="220" t="s">
        <v>32</v>
      </c>
      <c r="E52" s="220" t="s">
        <v>32</v>
      </c>
      <c r="F52" s="220" t="s">
        <v>32</v>
      </c>
      <c r="G52" s="220" t="s">
        <v>32</v>
      </c>
      <c r="H52" s="220" t="s">
        <v>32</v>
      </c>
      <c r="I52" s="223"/>
      <c r="J52" s="223"/>
      <c r="K52" s="218"/>
      <c r="L52" s="218"/>
    </row>
    <row r="53" spans="1:12" ht="48" customHeight="1" x14ac:dyDescent="0.25">
      <c r="A53" s="215" t="s">
        <v>476</v>
      </c>
      <c r="B53" s="226" t="s">
        <v>477</v>
      </c>
      <c r="C53" s="225">
        <v>45566</v>
      </c>
      <c r="D53" s="225">
        <v>45657</v>
      </c>
      <c r="E53" s="225">
        <v>45657</v>
      </c>
      <c r="F53" s="225">
        <v>45657</v>
      </c>
      <c r="G53" s="225">
        <v>45657</v>
      </c>
      <c r="H53" s="225">
        <v>45657</v>
      </c>
      <c r="I53" s="223">
        <v>100</v>
      </c>
      <c r="J53" s="223"/>
      <c r="K53" s="218"/>
      <c r="L53" s="218"/>
    </row>
    <row r="54" spans="1:12" ht="46.5" customHeight="1" x14ac:dyDescent="0.25">
      <c r="A54" s="215" t="s">
        <v>478</v>
      </c>
      <c r="B54" s="221" t="s">
        <v>479</v>
      </c>
      <c r="C54" s="220" t="s">
        <v>32</v>
      </c>
      <c r="D54" s="220" t="s">
        <v>32</v>
      </c>
      <c r="E54" s="220" t="s">
        <v>32</v>
      </c>
      <c r="F54" s="220" t="s">
        <v>32</v>
      </c>
      <c r="G54" s="220" t="s">
        <v>32</v>
      </c>
      <c r="H54" s="220" t="s">
        <v>32</v>
      </c>
      <c r="I54" s="223"/>
      <c r="J54" s="223"/>
      <c r="K54" s="218"/>
      <c r="L54" s="218"/>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2025-11-10T11:51:05Z</dcterms:modified>
</cp:coreProperties>
</file>